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codeName="ThisWorkbook" defaultThemeVersion="166925"/>
  <mc:AlternateContent xmlns:mc="http://schemas.openxmlformats.org/markup-compatibility/2006">
    <mc:Choice Requires="x15">
      <x15ac:absPath xmlns:x15ac="http://schemas.microsoft.com/office/spreadsheetml/2010/11/ac" url="https://nufarm-my.sharepoint.com/personal/david_wells_nufarm_com/Documents/Documents/EOP/2026/Calculator/Finals/Signal Finals/"/>
    </mc:Choice>
  </mc:AlternateContent>
  <xr:revisionPtr revIDLastSave="606" documentId="8_{204761C3-59D9-4DF1-8FC8-0DC4BBC67CD8}" xr6:coauthVersionLast="47" xr6:coauthVersionMax="47" xr10:uidLastSave="{7A478EAD-FFC0-4300-926F-364D0D937AE1}"/>
  <workbookProtection workbookAlgorithmName="SHA-512" workbookHashValue="n/09L9F78CwoWFG1SrBTLlyJPO4RW8wcOM3pjH3L1XCbRtuXW2Mqj9yetN45ZR0W9ZC3Ru6IP+CzQSJA80+pFg==" workbookSaltValue="EWODt34DlvQqNlLdJtx2/Q==" workbookSpinCount="100000" lockStructure="1"/>
  <bookViews>
    <workbookView xWindow="-120" yWindow="-120" windowWidth="29040" windowHeight="15720" activeTab="1" xr2:uid="{A5EAFC43-CEC8-440B-A385-E3CB34227E7E}"/>
  </bookViews>
  <sheets>
    <sheet name="Instructions" sheetId="3" r:id="rId1"/>
    <sheet name="Nufarm Edge Rewards Calculator" sheetId="1" r:id="rId2"/>
    <sheet name="Rebate Reference Table" sheetId="2" state="hidden" r:id="rId3"/>
  </sheets>
  <definedNames>
    <definedName name="_xlnm._FilterDatabase" localSheetId="1" hidden="1">'Nufarm Edge Rewards Calculator'!$A$14:$K$143</definedName>
    <definedName name="_xlnm._FilterDatabase" localSheetId="2" hidden="1">'Rebate Reference Table'!#REF!</definedName>
    <definedName name="CalcBlankFilter_Sheet1">0</definedName>
    <definedName name="CalcHideBlankRows_Sheet1">0</definedName>
    <definedName name="_xlnm.Print_Area" localSheetId="0">Instructions!$A$1:$B$14</definedName>
    <definedName name="_xlnm.Print_Area" localSheetId="1">'Nufarm Edge Rewards Calculator'!$E$6:$K$143</definedName>
    <definedName name="_xlnm.Print_Titles" localSheetId="1">'Nufarm Edge Rewards Calculator'!$E:$K,'Nufarm Edge Rewards Calculator'!$1:$1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5" i="1" l="1"/>
  <c r="Q84" i="1"/>
  <c r="Q83" i="1"/>
  <c r="Q82" i="1"/>
  <c r="J84" i="1"/>
  <c r="K84" i="1" s="1"/>
  <c r="I84" i="1"/>
  <c r="J82" i="1"/>
  <c r="K82" i="1" s="1"/>
  <c r="I82" i="1"/>
  <c r="J85" i="1"/>
  <c r="K85" i="1" s="1"/>
  <c r="I85" i="1"/>
  <c r="J83" i="1"/>
  <c r="K83" i="1" s="1"/>
  <c r="I83" i="1"/>
  <c r="E74" i="2"/>
  <c r="F74" i="2"/>
  <c r="E75" i="2"/>
  <c r="F75" i="2"/>
  <c r="E76" i="2" l="1"/>
  <c r="F76" i="2"/>
  <c r="E77" i="2"/>
  <c r="F77" i="2"/>
  <c r="Q56" i="1"/>
  <c r="Q55" i="1"/>
  <c r="Q92" i="1" l="1"/>
  <c r="Q91" i="1"/>
  <c r="Q90" i="1"/>
  <c r="I17" i="1"/>
  <c r="Q47" i="1"/>
  <c r="I55" i="1"/>
  <c r="I56" i="1"/>
  <c r="E120" i="2"/>
  <c r="F120" i="2"/>
  <c r="E121" i="2"/>
  <c r="F121" i="2"/>
  <c r="I90" i="1"/>
  <c r="I91" i="1"/>
  <c r="I92" i="1"/>
  <c r="F84" i="2"/>
  <c r="E84" i="2"/>
  <c r="F83" i="2"/>
  <c r="E83" i="2"/>
  <c r="F82" i="2"/>
  <c r="E82" i="2"/>
  <c r="I143" i="1" l="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8" i="1"/>
  <c r="I97" i="1"/>
  <c r="I96" i="1"/>
  <c r="I95" i="1"/>
  <c r="I94" i="1"/>
  <c r="I93" i="1"/>
  <c r="I89" i="1"/>
  <c r="I88" i="1"/>
  <c r="I87" i="1"/>
  <c r="I86" i="1"/>
  <c r="I81" i="1"/>
  <c r="I80" i="1"/>
  <c r="I79" i="1"/>
  <c r="I78" i="1"/>
  <c r="I77" i="1"/>
  <c r="I76" i="1"/>
  <c r="I75" i="1"/>
  <c r="I74" i="1"/>
  <c r="I73" i="1"/>
  <c r="I72" i="1"/>
  <c r="I71" i="1"/>
  <c r="I70" i="1"/>
  <c r="I69" i="1"/>
  <c r="I68" i="1"/>
  <c r="I67" i="1"/>
  <c r="I66" i="1"/>
  <c r="I65" i="1"/>
  <c r="I64" i="1"/>
  <c r="I63" i="1"/>
  <c r="I62" i="1"/>
  <c r="I61" i="1"/>
  <c r="I60" i="1"/>
  <c r="I59" i="1"/>
  <c r="I58"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5" i="1"/>
  <c r="I18" i="1"/>
  <c r="I19" i="1"/>
  <c r="I20" i="1"/>
  <c r="I21" i="1"/>
  <c r="I22" i="1"/>
  <c r="I23" i="1"/>
  <c r="I24" i="1"/>
  <c r="I16" i="1"/>
  <c r="K8" i="1" l="1"/>
  <c r="Q106" i="1"/>
  <c r="Q78" i="1"/>
  <c r="Q77" i="1"/>
  <c r="Q40" i="1"/>
  <c r="Q39" i="1"/>
  <c r="Q38" i="1"/>
  <c r="Q22" i="1"/>
  <c r="F105" i="2" l="1"/>
  <c r="E105" i="2"/>
  <c r="E11" i="2"/>
  <c r="F11" i="2"/>
  <c r="F70" i="2"/>
  <c r="E70" i="2"/>
  <c r="E69" i="2"/>
  <c r="F69" i="2"/>
  <c r="E71" i="2"/>
  <c r="F71" i="2"/>
  <c r="E72" i="2"/>
  <c r="F72" i="2"/>
  <c r="E73" i="2"/>
  <c r="F73" i="2"/>
  <c r="F62" i="2"/>
  <c r="E62" i="2"/>
  <c r="E103" i="2" l="1"/>
  <c r="F103" i="2"/>
  <c r="E104" i="2"/>
  <c r="F104" i="2"/>
  <c r="Q80" i="1" l="1"/>
  <c r="Q81" i="1"/>
  <c r="Q79" i="1"/>
  <c r="Q69" i="1"/>
  <c r="Q37" i="1" l="1"/>
  <c r="E102" i="2"/>
  <c r="F102" i="2"/>
  <c r="F109" i="2"/>
  <c r="Q104" i="1"/>
  <c r="F9" i="2"/>
  <c r="E9" i="2"/>
  <c r="F80" i="2" l="1"/>
  <c r="E80" i="2"/>
  <c r="Q88" i="1"/>
  <c r="F64" i="2"/>
  <c r="E64" i="2"/>
  <c r="Q72" i="1"/>
  <c r="Q43" i="1"/>
  <c r="F112" i="2" l="1"/>
  <c r="E112" i="2"/>
  <c r="Q48" i="1"/>
  <c r="E7" i="2" l="1"/>
  <c r="F7" i="2"/>
  <c r="E8" i="2"/>
  <c r="F8" i="2"/>
  <c r="E10" i="2"/>
  <c r="F10" i="2"/>
  <c r="Q102" i="1"/>
  <c r="Q105" i="1"/>
  <c r="Q103" i="1"/>
  <c r="Q138" i="1" l="1"/>
  <c r="Q137" i="1"/>
  <c r="Q68" i="1" l="1"/>
  <c r="Q54" i="1"/>
  <c r="Q53" i="1"/>
  <c r="Q33" i="1" l="1"/>
  <c r="Q50" i="1" l="1"/>
  <c r="Q76" i="1"/>
  <c r="F101" i="2"/>
  <c r="E101" i="2"/>
  <c r="Q35" i="1" l="1"/>
  <c r="E30" i="2" l="1"/>
  <c r="F30" i="2"/>
  <c r="Q125" i="1"/>
  <c r="Q124" i="1"/>
  <c r="F119" i="2"/>
  <c r="E119" i="2"/>
  <c r="F48" i="2" l="1"/>
  <c r="E48" i="2"/>
  <c r="Q143" i="1"/>
  <c r="F129" i="2"/>
  <c r="E129" i="2"/>
  <c r="F125" i="2"/>
  <c r="E125" i="2"/>
  <c r="Q18" i="1"/>
  <c r="F118" i="2" l="1"/>
  <c r="E118" i="2"/>
  <c r="F115" i="2"/>
  <c r="E115" i="2"/>
  <c r="F98" i="2"/>
  <c r="E98" i="2"/>
  <c r="F93" i="2"/>
  <c r="E93" i="2"/>
  <c r="Q28" i="1"/>
  <c r="F90" i="2"/>
  <c r="E90" i="2"/>
  <c r="Q98" i="1"/>
  <c r="F87" i="2"/>
  <c r="E87" i="2"/>
  <c r="Q95" i="1"/>
  <c r="F68" i="2"/>
  <c r="E68" i="2"/>
  <c r="F59" i="2" l="1"/>
  <c r="E59" i="2"/>
  <c r="Q67" i="1"/>
  <c r="F57" i="2"/>
  <c r="E57" i="2"/>
  <c r="Q65" i="1"/>
  <c r="F51" i="2"/>
  <c r="E51" i="2"/>
  <c r="Q59" i="1"/>
  <c r="F40" i="2" l="1"/>
  <c r="E40" i="2"/>
  <c r="Q135" i="1"/>
  <c r="Q133" i="1" l="1"/>
  <c r="Q132" i="1"/>
  <c r="Q131" i="1"/>
  <c r="E36" i="2" l="1"/>
  <c r="F36" i="2"/>
  <c r="E37" i="2"/>
  <c r="F37" i="2"/>
  <c r="E38" i="2"/>
  <c r="F38" i="2"/>
  <c r="F17" i="2"/>
  <c r="E17" i="2"/>
  <c r="Q112" i="1"/>
  <c r="F14" i="2"/>
  <c r="E14" i="2"/>
  <c r="Q108" i="1"/>
  <c r="E131" i="2" l="1"/>
  <c r="Q19" i="1"/>
  <c r="F126" i="2"/>
  <c r="E126" i="2"/>
  <c r="Q136" i="1" l="1"/>
  <c r="Q119" i="1"/>
  <c r="F43" i="2" l="1"/>
  <c r="E43" i="2"/>
  <c r="F42" i="2"/>
  <c r="E42" i="2"/>
  <c r="Q49" i="1"/>
  <c r="F114" i="2"/>
  <c r="E114" i="2"/>
  <c r="F113" i="2"/>
  <c r="E113" i="2"/>
  <c r="F28" i="2"/>
  <c r="E28" i="2"/>
  <c r="Q123" i="1"/>
  <c r="Q120" i="1"/>
  <c r="F24" i="2"/>
  <c r="E24" i="2"/>
  <c r="F21" i="2"/>
  <c r="E21" i="2"/>
  <c r="Q116" i="1"/>
  <c r="E127" i="2"/>
  <c r="F127" i="2"/>
  <c r="E128" i="2"/>
  <c r="F128" i="2"/>
  <c r="Q21" i="1"/>
  <c r="Q20" i="1"/>
  <c r="F6" i="2"/>
  <c r="E6" i="2"/>
  <c r="Q101" i="1"/>
  <c r="Q74" i="1"/>
  <c r="Q45" i="1"/>
  <c r="Q44" i="1"/>
  <c r="Q31" i="1"/>
  <c r="Q32" i="1"/>
  <c r="Q97" i="1" l="1"/>
  <c r="Q96" i="1"/>
  <c r="Q94" i="1"/>
  <c r="Q93" i="1"/>
  <c r="Q89" i="1"/>
  <c r="Q87" i="1"/>
  <c r="Q86" i="1"/>
  <c r="Q75" i="1"/>
  <c r="Q73" i="1"/>
  <c r="Q71" i="1"/>
  <c r="Q70" i="1"/>
  <c r="E110" i="2" l="1"/>
  <c r="F110" i="2"/>
  <c r="Q34" i="1"/>
  <c r="Q134" i="1" l="1"/>
  <c r="Q127" i="1" l="1"/>
  <c r="Q126" i="1"/>
  <c r="Q110" i="1"/>
  <c r="Q109" i="1"/>
  <c r="E34" i="2"/>
  <c r="F34" i="2"/>
  <c r="Q129" i="1"/>
  <c r="Q17" i="1" l="1"/>
  <c r="Q16" i="1"/>
  <c r="Q29" i="1"/>
  <c r="Q66" i="1"/>
  <c r="Q63" i="1"/>
  <c r="Q62" i="1"/>
  <c r="Q61" i="1"/>
  <c r="Q60" i="1"/>
  <c r="Q42" i="1"/>
  <c r="Q41" i="1"/>
  <c r="Q30" i="1"/>
  <c r="Q142" i="1"/>
  <c r="Q140" i="1"/>
  <c r="Q130" i="1"/>
  <c r="Q117" i="1"/>
  <c r="Q113" i="1"/>
  <c r="Q121" i="1"/>
  <c r="Q114" i="1"/>
  <c r="Q52" i="1"/>
  <c r="Q51" i="1"/>
  <c r="Q27" i="1"/>
  <c r="Q141" i="1"/>
  <c r="Q139" i="1"/>
  <c r="Q128" i="1"/>
  <c r="Q122" i="1"/>
  <c r="Q118" i="1"/>
  <c r="Q115" i="1"/>
  <c r="Q111" i="1"/>
  <c r="Q36" i="1"/>
  <c r="Q46" i="1"/>
  <c r="Q107" i="1"/>
  <c r="Q100" i="1"/>
  <c r="Q58" i="1"/>
  <c r="Q64" i="1"/>
  <c r="E124" i="2" l="1"/>
  <c r="F124" i="2"/>
  <c r="E116" i="2"/>
  <c r="F116" i="2"/>
  <c r="E107" i="2"/>
  <c r="F107" i="2"/>
  <c r="E55" i="2"/>
  <c r="F55" i="2"/>
  <c r="E53" i="2"/>
  <c r="F53" i="2"/>
  <c r="F12" i="2" l="1"/>
  <c r="F13" i="2"/>
  <c r="F15" i="2"/>
  <c r="F16" i="2"/>
  <c r="F18" i="2"/>
  <c r="F19" i="2"/>
  <c r="F20" i="2"/>
  <c r="F22" i="2"/>
  <c r="F23" i="2"/>
  <c r="F25" i="2"/>
  <c r="F26" i="2"/>
  <c r="F27" i="2"/>
  <c r="F29" i="2"/>
  <c r="F31" i="2"/>
  <c r="F32" i="2"/>
  <c r="F33" i="2"/>
  <c r="F35" i="2"/>
  <c r="F39" i="2"/>
  <c r="F41" i="2"/>
  <c r="F44" i="2"/>
  <c r="F45" i="2"/>
  <c r="F46" i="2"/>
  <c r="F47" i="2"/>
  <c r="F49" i="2"/>
  <c r="F52" i="2"/>
  <c r="F50" i="2"/>
  <c r="F54" i="2"/>
  <c r="F56" i="2"/>
  <c r="F58" i="2"/>
  <c r="F60" i="2"/>
  <c r="F61" i="2"/>
  <c r="F63" i="2"/>
  <c r="F65" i="2"/>
  <c r="F66" i="2"/>
  <c r="F67" i="2"/>
  <c r="F78" i="2"/>
  <c r="F79" i="2"/>
  <c r="F81" i="2"/>
  <c r="F85" i="2"/>
  <c r="F86" i="2"/>
  <c r="F88" i="2"/>
  <c r="F89" i="2"/>
  <c r="F91" i="2"/>
  <c r="F92" i="2"/>
  <c r="F95" i="2"/>
  <c r="F96" i="2"/>
  <c r="F97" i="2"/>
  <c r="F94" i="2"/>
  <c r="F99" i="2"/>
  <c r="F100" i="2"/>
  <c r="F106" i="2"/>
  <c r="F108" i="2"/>
  <c r="F111" i="2"/>
  <c r="F117" i="2"/>
  <c r="F122" i="2"/>
  <c r="F123" i="2"/>
  <c r="F130" i="2"/>
  <c r="F131" i="2"/>
  <c r="F132" i="2"/>
  <c r="F5" i="2"/>
  <c r="E12" i="2"/>
  <c r="E13" i="2"/>
  <c r="E15" i="2"/>
  <c r="E16" i="2"/>
  <c r="E18" i="2"/>
  <c r="E19" i="2"/>
  <c r="E20" i="2"/>
  <c r="E22" i="2"/>
  <c r="E23" i="2"/>
  <c r="E25" i="2"/>
  <c r="E26" i="2"/>
  <c r="E27" i="2"/>
  <c r="E29" i="2"/>
  <c r="E31" i="2"/>
  <c r="E32" i="2"/>
  <c r="E33" i="2"/>
  <c r="E35" i="2"/>
  <c r="E39" i="2"/>
  <c r="E41" i="2"/>
  <c r="E44" i="2"/>
  <c r="E45" i="2"/>
  <c r="E46" i="2"/>
  <c r="E47" i="2"/>
  <c r="E49" i="2"/>
  <c r="E52" i="2"/>
  <c r="E50" i="2"/>
  <c r="E54" i="2"/>
  <c r="E56" i="2"/>
  <c r="E58" i="2"/>
  <c r="E60" i="2"/>
  <c r="E61" i="2"/>
  <c r="E63" i="2"/>
  <c r="E65" i="2"/>
  <c r="E66" i="2"/>
  <c r="E67" i="2"/>
  <c r="E78" i="2"/>
  <c r="E79" i="2"/>
  <c r="E81" i="2"/>
  <c r="E85" i="2"/>
  <c r="E86" i="2"/>
  <c r="E88" i="2"/>
  <c r="E89" i="2"/>
  <c r="E91" i="2"/>
  <c r="E92" i="2"/>
  <c r="E95" i="2"/>
  <c r="E96" i="2"/>
  <c r="E97" i="2"/>
  <c r="E94" i="2"/>
  <c r="E99" i="2"/>
  <c r="E100" i="2"/>
  <c r="E106" i="2"/>
  <c r="E108" i="2"/>
  <c r="E109" i="2"/>
  <c r="E111" i="2"/>
  <c r="E117" i="2"/>
  <c r="E122" i="2"/>
  <c r="E123" i="2"/>
  <c r="E130" i="2"/>
  <c r="E132" i="2"/>
  <c r="E5" i="2"/>
  <c r="J143" i="1" l="1"/>
  <c r="J135" i="1"/>
  <c r="J127" i="1"/>
  <c r="J119" i="1"/>
  <c r="J111" i="1"/>
  <c r="J103" i="1"/>
  <c r="J94" i="1"/>
  <c r="J86" i="1"/>
  <c r="J74" i="1"/>
  <c r="J66" i="1"/>
  <c r="J58" i="1"/>
  <c r="J45" i="1"/>
  <c r="J37" i="1"/>
  <c r="J29" i="1"/>
  <c r="J123" i="1"/>
  <c r="J49" i="1"/>
  <c r="J106" i="1"/>
  <c r="J40" i="1"/>
  <c r="K40" i="1" s="1"/>
  <c r="J142" i="1"/>
  <c r="J134" i="1"/>
  <c r="J126" i="1"/>
  <c r="J118" i="1"/>
  <c r="J110" i="1"/>
  <c r="J102" i="1"/>
  <c r="K102" i="1" s="1"/>
  <c r="J93" i="1"/>
  <c r="J81" i="1"/>
  <c r="J73" i="1"/>
  <c r="J65" i="1"/>
  <c r="J52" i="1"/>
  <c r="J44" i="1"/>
  <c r="J36" i="1"/>
  <c r="J28" i="1"/>
  <c r="J107" i="1"/>
  <c r="J70" i="1"/>
  <c r="J33" i="1"/>
  <c r="J114" i="1"/>
  <c r="J69" i="1"/>
  <c r="K69" i="1" s="1"/>
  <c r="J141" i="1"/>
  <c r="J133" i="1"/>
  <c r="J125" i="1"/>
  <c r="J117" i="1"/>
  <c r="J109" i="1"/>
  <c r="J101" i="1"/>
  <c r="J92" i="1"/>
  <c r="K92" i="1" s="1"/>
  <c r="J80" i="1"/>
  <c r="J72" i="1"/>
  <c r="J64" i="1"/>
  <c r="J51" i="1"/>
  <c r="J43" i="1"/>
  <c r="K43" i="1" s="1"/>
  <c r="J35" i="1"/>
  <c r="J27" i="1"/>
  <c r="J131" i="1"/>
  <c r="J90" i="1"/>
  <c r="K90" i="1" s="1"/>
  <c r="J78" i="1"/>
  <c r="J62" i="1"/>
  <c r="J138" i="1"/>
  <c r="J77" i="1"/>
  <c r="J140" i="1"/>
  <c r="J132" i="1"/>
  <c r="J124" i="1"/>
  <c r="J116" i="1"/>
  <c r="J108" i="1"/>
  <c r="J100" i="1"/>
  <c r="J91" i="1"/>
  <c r="K91" i="1" s="1"/>
  <c r="J79" i="1"/>
  <c r="J71" i="1"/>
  <c r="J63" i="1"/>
  <c r="J50" i="1"/>
  <c r="J42" i="1"/>
  <c r="J34" i="1"/>
  <c r="J98" i="1"/>
  <c r="J41" i="1"/>
  <c r="J122" i="1"/>
  <c r="J97" i="1"/>
  <c r="J48" i="1"/>
  <c r="J137" i="1"/>
  <c r="J129" i="1"/>
  <c r="J121" i="1"/>
  <c r="J113" i="1"/>
  <c r="J105" i="1"/>
  <c r="J96" i="1"/>
  <c r="J88" i="1"/>
  <c r="J76" i="1"/>
  <c r="J68" i="1"/>
  <c r="J60" i="1"/>
  <c r="J47" i="1"/>
  <c r="J39" i="1"/>
  <c r="K39" i="1" s="1"/>
  <c r="J31" i="1"/>
  <c r="J139" i="1"/>
  <c r="J61" i="1"/>
  <c r="J136" i="1"/>
  <c r="J128" i="1"/>
  <c r="J120" i="1"/>
  <c r="J112" i="1"/>
  <c r="J104" i="1"/>
  <c r="J95" i="1"/>
  <c r="J87" i="1"/>
  <c r="J75" i="1"/>
  <c r="J67" i="1"/>
  <c r="J59" i="1"/>
  <c r="J46" i="1"/>
  <c r="J38" i="1"/>
  <c r="J30" i="1"/>
  <c r="J115" i="1"/>
  <c r="J130" i="1"/>
  <c r="J89" i="1"/>
  <c r="J32" i="1"/>
  <c r="J18" i="1"/>
  <c r="J55" i="1"/>
  <c r="K55" i="1" s="1"/>
  <c r="J54" i="1"/>
  <c r="J21" i="1"/>
  <c r="J25" i="1"/>
  <c r="J20" i="1"/>
  <c r="J23" i="1"/>
  <c r="J19" i="1"/>
  <c r="J16" i="1"/>
  <c r="K16" i="1" s="1"/>
  <c r="J17" i="1"/>
  <c r="J53" i="1"/>
  <c r="J24" i="1"/>
  <c r="J56" i="1"/>
  <c r="K56" i="1" s="1"/>
  <c r="J22" i="1"/>
  <c r="K98" i="1" l="1"/>
  <c r="K20" i="1"/>
  <c r="K105" i="1"/>
  <c r="K41" i="1"/>
  <c r="K38" i="1"/>
  <c r="K32" i="1"/>
  <c r="K114" i="1"/>
  <c r="K109" i="1"/>
  <c r="K66" i="1"/>
  <c r="K119" i="1"/>
  <c r="K127" i="1"/>
  <c r="K48" i="1"/>
  <c r="K95" i="1"/>
  <c r="K120" i="1"/>
  <c r="K35" i="1"/>
  <c r="K61" i="1"/>
  <c r="K74" i="1"/>
  <c r="K138" i="1"/>
  <c r="K113" i="1"/>
  <c r="K76" i="1"/>
  <c r="K28" i="1"/>
  <c r="K115" i="1"/>
  <c r="K21" i="1"/>
  <c r="K18" i="1"/>
  <c r="K68" i="1"/>
  <c r="K33" i="1"/>
  <c r="K30" i="1"/>
  <c r="K135" i="1"/>
  <c r="K94" i="1"/>
  <c r="K131" i="1"/>
  <c r="K63" i="1"/>
  <c r="K46" i="1"/>
  <c r="K52" i="1"/>
  <c r="K142" i="1"/>
  <c r="K100" i="1"/>
  <c r="K25" i="1"/>
  <c r="K22" i="1"/>
  <c r="K19" i="1"/>
  <c r="K78" i="1"/>
  <c r="K87" i="1"/>
  <c r="K116" i="1"/>
  <c r="K139" i="1"/>
  <c r="K129" i="1"/>
  <c r="K130" i="1"/>
  <c r="K58" i="1"/>
  <c r="K104" i="1"/>
  <c r="K97" i="1"/>
  <c r="K86" i="1"/>
  <c r="K124" i="1"/>
  <c r="K23" i="1"/>
  <c r="K47" i="1"/>
  <c r="K54" i="1"/>
  <c r="K24" i="1"/>
  <c r="K126" i="1"/>
  <c r="K123" i="1"/>
  <c r="K118" i="1"/>
  <c r="K70" i="1"/>
  <c r="K45" i="1"/>
  <c r="K140" i="1"/>
  <c r="K64" i="1"/>
  <c r="K75" i="1"/>
  <c r="K50" i="1"/>
  <c r="K72" i="1"/>
  <c r="K117" i="1"/>
  <c r="K108" i="1"/>
  <c r="K60" i="1"/>
  <c r="K80" i="1"/>
  <c r="K53" i="1"/>
  <c r="K37" i="1"/>
  <c r="K81" i="1"/>
  <c r="K36" i="1"/>
  <c r="K103" i="1"/>
  <c r="K31" i="1"/>
  <c r="K49" i="1"/>
  <c r="K93" i="1"/>
  <c r="K125" i="1"/>
  <c r="K141" i="1"/>
  <c r="K73" i="1"/>
  <c r="K136" i="1"/>
  <c r="K111" i="1"/>
  <c r="K42" i="1"/>
  <c r="K134" i="1"/>
  <c r="K89" i="1"/>
  <c r="K107" i="1"/>
  <c r="K34" i="1"/>
  <c r="K59" i="1"/>
  <c r="K96" i="1"/>
  <c r="K44" i="1"/>
  <c r="K122" i="1"/>
  <c r="K27" i="1"/>
  <c r="K17" i="1"/>
  <c r="K65" i="1"/>
  <c r="K51" i="1"/>
  <c r="K101" i="1"/>
  <c r="K110" i="1"/>
  <c r="K132" i="1"/>
  <c r="K106" i="1"/>
  <c r="K79" i="1"/>
  <c r="K77" i="1"/>
  <c r="K67" i="1"/>
  <c r="K137" i="1"/>
  <c r="K88" i="1"/>
  <c r="K29" i="1"/>
  <c r="K128" i="1"/>
  <c r="K71" i="1"/>
  <c r="K133" i="1"/>
  <c r="K121" i="1"/>
  <c r="K143" i="1"/>
  <c r="K62" i="1"/>
  <c r="K112" i="1"/>
  <c r="K9" i="1" l="1"/>
  <c r="K11" i="1" l="1"/>
  <c r="K10" i="1"/>
</calcChain>
</file>

<file path=xl/sharedStrings.xml><?xml version="1.0" encoding="utf-8"?>
<sst xmlns="http://schemas.openxmlformats.org/spreadsheetml/2006/main" count="1271" uniqueCount="353">
  <si>
    <t>Herbicides</t>
  </si>
  <si>
    <t>Product Description</t>
  </si>
  <si>
    <t>4-SPEED XT 2x2.5 Gallon Case</t>
  </si>
  <si>
    <t>BROADSTAR 50 Lb Bag</t>
  </si>
  <si>
    <t>CELERO 4x1 Lb Case</t>
  </si>
  <si>
    <t>CERTAINTY 10x1.25 Wt oz Case</t>
  </si>
  <si>
    <t>CHANGE UP 2x2.5 Gallon Case</t>
  </si>
  <si>
    <t>CHANGE UP 30 Gallon Drum</t>
  </si>
  <si>
    <t>COOL POWER 2x2.5 Gallon Case</t>
  </si>
  <si>
    <t>COOL POWER 30 Gallon Drum</t>
  </si>
  <si>
    <t>ESCALADE 2 2x2.5 Gallon Case</t>
  </si>
  <si>
    <t>ESCALADE 2 30 Gallon Drum</t>
  </si>
  <si>
    <t>ESCALADE 2 250 Gallon Tote</t>
  </si>
  <si>
    <t>HORSEPOWER 2x2.5 Gallon Case</t>
  </si>
  <si>
    <t>HORSEPOWER 30 Gallon Drum</t>
  </si>
  <si>
    <t>MANOR 16x2 Wt oz Case</t>
  </si>
  <si>
    <t>MANOR 8x8 Wt oz Case</t>
  </si>
  <si>
    <t>MILLENNIUM ULTRA 2 2x2.5 Gallon Case</t>
  </si>
  <si>
    <t>MILLENNIUM ULTRA 2 30 Gallon Drum</t>
  </si>
  <si>
    <t>SURE POWER 2x2.5 Gallon Case</t>
  </si>
  <si>
    <t>SURE POWER 30 Gallon Drum</t>
  </si>
  <si>
    <t>TRIPLET LOW ODOR 2x2.5 Gallon Case</t>
  </si>
  <si>
    <t>TRIPLET LOW ODOR 30 Gallon Drum</t>
  </si>
  <si>
    <t>Insecticides</t>
  </si>
  <si>
    <t>ALOFT LC G 30 Lb Bag</t>
  </si>
  <si>
    <t>ARENA 0.25 G 30 Lb Bag</t>
  </si>
  <si>
    <t>ARENA 50 WDG 4x40 Wt oz Case</t>
  </si>
  <si>
    <t>DIPEL PRO DF 30x1 Lb Case</t>
  </si>
  <si>
    <t>DISTANCE IGR 4x1 Qt Case</t>
  </si>
  <si>
    <t>GNATROL WDG 16 Lb Pail</t>
  </si>
  <si>
    <t>MINX 2 4x1 Qt Case</t>
  </si>
  <si>
    <t>MINX 2 4x1 Gallon Case</t>
  </si>
  <si>
    <t>OVERTURE 35 WP 8x8x2 Wt oz Case</t>
  </si>
  <si>
    <t>SAFARI 20 SG 16x12 Wt oz Case</t>
  </si>
  <si>
    <t>SAFARI 20 SG 4x3 Lb Case</t>
  </si>
  <si>
    <t>TAME 2.4 EC SPRAY 12x1 Qt Case</t>
  </si>
  <si>
    <t>TETRASAN 5 WDG 8x8x2 Wt oz Case</t>
  </si>
  <si>
    <t>TRISTAR 8.5 SL 4x1 Qt Case</t>
  </si>
  <si>
    <t>TRISTAR 8.5 SL 4x1 Gallon Case</t>
  </si>
  <si>
    <t>Fungicides</t>
  </si>
  <si>
    <t>26/36 2x2.5 Gallon Case</t>
  </si>
  <si>
    <t>3336 EG 4x5 Lb Case</t>
  </si>
  <si>
    <t>3336 F 12x1 Qt Case</t>
  </si>
  <si>
    <t>3336 DG LITE 30 Lb Bag</t>
  </si>
  <si>
    <t>ADORN 12x1 Qt Case</t>
  </si>
  <si>
    <t>AFFIRM WDG 3x2.4 Lb Case</t>
  </si>
  <si>
    <t>SPECTRO 90 WDG 4x5 Lb Case</t>
  </si>
  <si>
    <t>SPIRATO GHN 8x1 Pt Case</t>
  </si>
  <si>
    <t>TORQUE 5x1 Gallon Case</t>
  </si>
  <si>
    <t>Plant Growth Regulators</t>
  </si>
  <si>
    <t>FASCINATION 4x0.5 Gallon Case</t>
  </si>
  <si>
    <t>SUMAGIC 4x1 Gallon Case</t>
  </si>
  <si>
    <t>SUMAGIC 15 Gallon Drum</t>
  </si>
  <si>
    <t>ENGULF GHN 8x1 Pt Case</t>
  </si>
  <si>
    <t>Item Number</t>
  </si>
  <si>
    <t>Unit Size</t>
  </si>
  <si>
    <t>COOL POWER</t>
  </si>
  <si>
    <t>ESCALADE 2</t>
  </si>
  <si>
    <t>HORSEPOWER</t>
  </si>
  <si>
    <t>MANOR</t>
  </si>
  <si>
    <t>MILLENNIUM ULTRA 2</t>
  </si>
  <si>
    <t>TRIPLET LOW ODOR</t>
  </si>
  <si>
    <t>TORQUE</t>
  </si>
  <si>
    <t>3336 DG LITE</t>
  </si>
  <si>
    <t>3336 F</t>
  </si>
  <si>
    <t>AFFIRM WDG</t>
  </si>
  <si>
    <t>SPECTRO 90 WDG</t>
  </si>
  <si>
    <t>26/36</t>
  </si>
  <si>
    <t>TRISTAR 8.5 SL</t>
  </si>
  <si>
    <t>CHANGE UP</t>
  </si>
  <si>
    <t>3336 EG</t>
  </si>
  <si>
    <t>ADORN</t>
  </si>
  <si>
    <t>ARENA 0.25 G</t>
  </si>
  <si>
    <t>ARENA 50 WDG</t>
  </si>
  <si>
    <t>BROADSTAR</t>
  </si>
  <si>
    <t>DIPEL PRO DF</t>
  </si>
  <si>
    <t>DISTANCE IGR</t>
  </si>
  <si>
    <t>FASCINATION</t>
  </si>
  <si>
    <t>GNATROL WDG</t>
  </si>
  <si>
    <t>OVERTURE 35 WP</t>
  </si>
  <si>
    <t>SAFARI 20 SG</t>
  </si>
  <si>
    <t>SUMAGIC</t>
  </si>
  <si>
    <t>TAME 2.4 EC SPRAY</t>
  </si>
  <si>
    <t>TETRASAN 5 WDG</t>
  </si>
  <si>
    <t>MINX 2</t>
  </si>
  <si>
    <t>ALOFT LC G</t>
  </si>
  <si>
    <t>CERTAINTY</t>
  </si>
  <si>
    <t>CELERO</t>
  </si>
  <si>
    <t>SURE POWER</t>
  </si>
  <si>
    <t>ENGULF GHN</t>
  </si>
  <si>
    <t>Product</t>
  </si>
  <si>
    <t>2.5 gal. bottle</t>
  </si>
  <si>
    <t>50 lb. bag</t>
  </si>
  <si>
    <t>1 lb. bag</t>
  </si>
  <si>
    <t>30 gal. drum</t>
  </si>
  <si>
    <t>250 gal. tote</t>
  </si>
  <si>
    <t>8 wt oz. bottle</t>
  </si>
  <si>
    <t>1 pt. bottle</t>
  </si>
  <si>
    <t>64 fl oz. bottle</t>
  </si>
  <si>
    <t>30 lb. bag</t>
  </si>
  <si>
    <t>40 wt oz. bottle</t>
  </si>
  <si>
    <t>1 qt. bottle</t>
  </si>
  <si>
    <t>16 lb. pail</t>
  </si>
  <si>
    <t>1 gal. bottle</t>
  </si>
  <si>
    <t>12 wt oz. bottle</t>
  </si>
  <si>
    <t>5 lb. bag</t>
  </si>
  <si>
    <t>2.4 lb. bag</t>
  </si>
  <si>
    <t>60 fl oz. bottle</t>
  </si>
  <si>
    <t>0.5 gal. bottle</t>
  </si>
  <si>
    <t>15 gal. drum</t>
  </si>
  <si>
    <t>NY</t>
  </si>
  <si>
    <t>CHANGE UP 250 Gallon Tote</t>
  </si>
  <si>
    <t>1 lb. bottle</t>
  </si>
  <si>
    <t>1.25 wt oz. bottle</t>
  </si>
  <si>
    <t>2 wt oz. bottle</t>
  </si>
  <si>
    <t>3 lb. bottle</t>
  </si>
  <si>
    <t>5 lb. bottle</t>
  </si>
  <si>
    <t>Nufarm Edge Rewards Calculator</t>
  </si>
  <si>
    <t>lb / A</t>
  </si>
  <si>
    <t>oz / A</t>
  </si>
  <si>
    <t>fl.oz / 100 gal</t>
  </si>
  <si>
    <t>oz / 100 gal</t>
  </si>
  <si>
    <t>N/A</t>
  </si>
  <si>
    <t>consult label</t>
  </si>
  <si>
    <t>Name:</t>
  </si>
  <si>
    <t>Date:</t>
  </si>
  <si>
    <t>NY 24-C only</t>
  </si>
  <si>
    <r>
      <t>fl.oz / 1000</t>
    </r>
    <r>
      <rPr>
        <vertAlign val="superscript"/>
        <sz val="11"/>
        <rFont val="Arial"/>
        <family val="2"/>
      </rPr>
      <t>2</t>
    </r>
  </si>
  <si>
    <r>
      <t>lb / 1000</t>
    </r>
    <r>
      <rPr>
        <vertAlign val="superscript"/>
        <sz val="11"/>
        <rFont val="Arial"/>
        <family val="2"/>
      </rPr>
      <t>2</t>
    </r>
  </si>
  <si>
    <r>
      <t>oz / 1000</t>
    </r>
    <r>
      <rPr>
        <vertAlign val="superscript"/>
        <sz val="11"/>
        <rFont val="Arial"/>
        <family val="2"/>
      </rPr>
      <t>2</t>
    </r>
  </si>
  <si>
    <r>
      <t>lbs / 1000</t>
    </r>
    <r>
      <rPr>
        <vertAlign val="superscript"/>
        <sz val="11"/>
        <rFont val="Arial"/>
        <family val="2"/>
      </rPr>
      <t>2</t>
    </r>
  </si>
  <si>
    <t xml:space="preserve"> fl.oz / A</t>
  </si>
  <si>
    <t>3336 F 2x2.5 Gallon Case</t>
  </si>
  <si>
    <t>TRACTION</t>
  </si>
  <si>
    <t>SPIRATO GHN</t>
  </si>
  <si>
    <t>ANUEW EZ</t>
  </si>
  <si>
    <t>TOURNEY EZ</t>
  </si>
  <si>
    <t>fl.oz / A</t>
  </si>
  <si>
    <t>CA not for ornamental use</t>
  </si>
  <si>
    <t>ANUEW</t>
  </si>
  <si>
    <t>1.5 lb. pack</t>
  </si>
  <si>
    <t>ANUEW EZ 4x64 Fl oz Case</t>
  </si>
  <si>
    <t>4-SPEED XT</t>
  </si>
  <si>
    <t>2.5 gal. bottle Volume 12+</t>
  </si>
  <si>
    <t>1 lb. bottle Volume 4+</t>
  </si>
  <si>
    <t>2.5 gal. bottle Volume 6+</t>
  </si>
  <si>
    <t>SOUTHPAW 4x5 Lb Case</t>
  </si>
  <si>
    <t>SOUTHPAW</t>
  </si>
  <si>
    <t>SOUTHPAW 12x16 Wt oz Case</t>
  </si>
  <si>
    <t>5 lb. bottle Volume 4+</t>
  </si>
  <si>
    <t>16 wt oz. bottle</t>
  </si>
  <si>
    <t>SUREGUARD EZ</t>
  </si>
  <si>
    <t>SUREGUARD EZ 8x1 Pt Case</t>
  </si>
  <si>
    <t>SUREGUARD EZ 4x64 Fl oz Case</t>
  </si>
  <si>
    <t>64 fl oz. bottle Volume 8+</t>
  </si>
  <si>
    <t>SUREGUARD XTRA 4x1 Gallon Case</t>
  </si>
  <si>
    <t>1 gal. bottle Volume 4+</t>
  </si>
  <si>
    <t>HI, PR
NY Restricted Use Pesticide</t>
  </si>
  <si>
    <t>AK, AZ, CA, DC,  FL, HI, LA, NV, PR, TX
Not for sale, use or distribution in Nassau &amp; Suffolk Counties</t>
  </si>
  <si>
    <t>MT, ND, PR</t>
  </si>
  <si>
    <t>AK, CA, ID, ME, PR</t>
  </si>
  <si>
    <t>DC, FL</t>
  </si>
  <si>
    <t>PR
NYDEC 326.23(e) Not For Sale or Use on Long Island</t>
  </si>
  <si>
    <t>AK, DC, HI, PR</t>
  </si>
  <si>
    <t>AK, AZ, PR
NY DEC 326.23(e) Not For Sale or Use on Long Island</t>
  </si>
  <si>
    <t>PR</t>
  </si>
  <si>
    <t>AK, NY</t>
  </si>
  <si>
    <t>ALOFT GC SC</t>
  </si>
  <si>
    <t>ALOFT GC SC 4x64 Fl oz Case</t>
  </si>
  <si>
    <t>30 lb. bag Volume 50+</t>
  </si>
  <si>
    <t>ALOFT LC SC</t>
  </si>
  <si>
    <t>ALOFT LC SC 4x64 Fl oz Case</t>
  </si>
  <si>
    <t>40 wt oz. bottle Volume 8+</t>
  </si>
  <si>
    <t>1 lb. bag Volume 8+</t>
  </si>
  <si>
    <t>AK, PR</t>
  </si>
  <si>
    <t>AK, ME, PR</t>
  </si>
  <si>
    <t>PINPOINT</t>
  </si>
  <si>
    <t>PINPOINT 4x60 Fl oz Case</t>
  </si>
  <si>
    <t>60 fl oz. bottle Volume 8+</t>
  </si>
  <si>
    <t>1 pt. bottle Volume 8+</t>
  </si>
  <si>
    <t>TOURNEY EZ 4x1 Gallon Case</t>
  </si>
  <si>
    <t>TRACTION 2x2.5 Gallon Case</t>
  </si>
  <si>
    <t>ANUEW 4x4x1.5 Lb Case</t>
  </si>
  <si>
    <t>1.5 lb. pack Volume 32+</t>
  </si>
  <si>
    <t>ANUEW EZ 2x2.5 Gallon Case</t>
  </si>
  <si>
    <r>
      <rPr>
        <b/>
        <sz val="12"/>
        <color rgb="FFFFFFFF"/>
        <rFont val="Arial"/>
        <family val="2"/>
      </rPr>
      <t>PRODUCT 1</t>
    </r>
  </si>
  <si>
    <r>
      <rPr>
        <b/>
        <sz val="12"/>
        <color rgb="FFFFFFFF"/>
        <rFont val="Arial"/>
        <family val="2"/>
      </rPr>
      <t>PRODUCT 2</t>
    </r>
  </si>
  <si>
    <t>AK, DC</t>
  </si>
  <si>
    <t>AZ, PR</t>
  </si>
  <si>
    <t>AK, DC, ME, PR</t>
  </si>
  <si>
    <t>AK, DC, PR</t>
  </si>
  <si>
    <t>HI</t>
  </si>
  <si>
    <t>HI
Not for sale, use or distribution in Nassau &amp; Suffolk Counties (No application within 50 ft of water body connected to off-site surface water in NY)</t>
  </si>
  <si>
    <t>ME, PR</t>
  </si>
  <si>
    <t>VELOCITY PM 8x1 Pt Case</t>
  </si>
  <si>
    <t>VELOCITY PM</t>
  </si>
  <si>
    <t>HORSEPOWER 250 Gallon Tote</t>
  </si>
  <si>
    <t>AK, CA, HI, ME, NY</t>
  </si>
  <si>
    <t>ALLSTAR</t>
  </si>
  <si>
    <t>ALLSTAR 4x64 Fl oz Case</t>
  </si>
  <si>
    <t>ALLSTAR 2x2.5 Gallon Case</t>
  </si>
  <si>
    <t>ALLSTAR 30 Gallon Drum</t>
  </si>
  <si>
    <t>NY, PR, Elsewhere Restricted Use Pesticide</t>
  </si>
  <si>
    <t>ME, PR, WY</t>
  </si>
  <si>
    <t>AK, DC, PR, Elsewhere Restricted Use Pesticide</t>
  </si>
  <si>
    <t>AK, CA, Hi, NY, PR</t>
  </si>
  <si>
    <t>TOURNEY EZ 8x1 Pt Case</t>
  </si>
  <si>
    <t>lb / 100 gal</t>
  </si>
  <si>
    <t>3 lb. bottle Volume 4+</t>
  </si>
  <si>
    <t>SUREGUARD XTRA</t>
  </si>
  <si>
    <t>10 lb. bag</t>
  </si>
  <si>
    <t>CHAMPION++ 4x10 Lb Case</t>
  </si>
  <si>
    <t>CHAMPION++</t>
  </si>
  <si>
    <t>CURATOR</t>
  </si>
  <si>
    <t>OPTERAPRO</t>
  </si>
  <si>
    <t>ALLSTAR 265 Gallon Tote</t>
  </si>
  <si>
    <t>265 gal. tote</t>
  </si>
  <si>
    <t>PAIRINGS</t>
  </si>
  <si>
    <t>EOP 1 Rebate/Unit</t>
  </si>
  <si>
    <t>EOP 1 Volume Rebate/Unit</t>
  </si>
  <si>
    <t>Pairing Rebate/Unit</t>
  </si>
  <si>
    <t>Pairing EOP 1</t>
  </si>
  <si>
    <t>Pairing EOP 2</t>
  </si>
  <si>
    <t>EOP 2 Rebate/Unit</t>
  </si>
  <si>
    <t>Concat EOP 1</t>
  </si>
  <si>
    <t>Concat EOP 2</t>
  </si>
  <si>
    <t>Rebate</t>
  </si>
  <si>
    <t>Yes</t>
  </si>
  <si>
    <t>EOP 1 &amp; 2</t>
  </si>
  <si>
    <t>Volume</t>
  </si>
  <si>
    <t>Pairing</t>
  </si>
  <si>
    <t>Greenhouse
Nursery Brochure</t>
  </si>
  <si>
    <t>Turf
Brochure</t>
  </si>
  <si>
    <t>1.5 lb. pack Pairing 1-4</t>
  </si>
  <si>
    <t>2.4 lb. bag Volume 6+</t>
  </si>
  <si>
    <t>CURATOR 2x2.5 Gallon Case</t>
  </si>
  <si>
    <t>1 gal. bottle Pairing 2</t>
  </si>
  <si>
    <t>1 qt. bottle Volume 4+</t>
  </si>
  <si>
    <t>OPTERAPRO 4x1 Qt Case</t>
  </si>
  <si>
    <t>OPTERAPRO 4x1 Gallon Case</t>
  </si>
  <si>
    <t>1 gal. bottle Pairing 4</t>
  </si>
  <si>
    <t>2.5 gal bottle Pairing 1</t>
  </si>
  <si>
    <t>2.5 gal bottle Volume 4+</t>
  </si>
  <si>
    <t>AK, CA, PR</t>
  </si>
  <si>
    <t>Sales Manager:</t>
  </si>
  <si>
    <t>1. Click on the "Nufarm Edge Rewards Calculator" tab below.</t>
  </si>
  <si>
    <t>3. Click the "Hide/Show Blank Rows" button to hide rows without entered values.</t>
  </si>
  <si>
    <t>DRAFT ORDER</t>
  </si>
  <si>
    <t>+</t>
  </si>
  <si>
    <t>PRODUCT</t>
  </si>
  <si>
    <t>UNIT SIZE</t>
  </si>
  <si>
    <t>TOTAL COST</t>
  </si>
  <si>
    <t>SUBTOTAL REBATE</t>
  </si>
  <si>
    <t>EXAMPLE LOW RATE</t>
  </si>
  <si>
    <t>EXAMPLE HIGH RATE</t>
  </si>
  <si>
    <t>MEASURE</t>
  </si>
  <si>
    <t>NO STATE REGISTRATION
&amp; (availability)</t>
  </si>
  <si>
    <t>Purchase $3,000 of eligible Nufarm Edge Rewards qualifying products between September 1 and December 4, 2026 to earn valuable distributor credit rebates.</t>
  </si>
  <si>
    <r>
      <t xml:space="preserve">OWN APP RATE </t>
    </r>
    <r>
      <rPr>
        <sz val="12"/>
        <rFont val="Arial"/>
        <family val="2"/>
      </rPr>
      <t>(optional)</t>
    </r>
  </si>
  <si>
    <t>REBATE / UNIT</t>
  </si>
  <si>
    <t>TOTAL REBATE</t>
  </si>
  <si>
    <t>ESTIMATED NET TOTAL</t>
  </si>
  <si>
    <t>AVERAGE SAVINGS</t>
  </si>
  <si>
    <r>
      <t>1.5 lb. pack</t>
    </r>
    <r>
      <rPr>
        <sz val="11"/>
        <color rgb="FF00B050"/>
        <rFont val="Arial"/>
        <family val="2"/>
      </rPr>
      <t xml:space="preserve"> </t>
    </r>
    <r>
      <rPr>
        <sz val="11"/>
        <color rgb="FF409756"/>
        <rFont val="Arial"/>
        <family val="2"/>
      </rPr>
      <t>Volume 32+</t>
    </r>
  </si>
  <si>
    <r>
      <t>1.5 lb. pack</t>
    </r>
    <r>
      <rPr>
        <sz val="11"/>
        <color rgb="FF00B050"/>
        <rFont val="Arial"/>
        <family val="2"/>
      </rPr>
      <t xml:space="preserve"> </t>
    </r>
    <r>
      <rPr>
        <sz val="11"/>
        <color rgb="FF409756"/>
        <rFont val="Arial"/>
        <family val="2"/>
      </rPr>
      <t>Pairing 1-4</t>
    </r>
  </si>
  <si>
    <r>
      <t>2.5 gal. bottle</t>
    </r>
    <r>
      <rPr>
        <sz val="11"/>
        <color rgb="FF00B050"/>
        <rFont val="Arial"/>
        <family val="2"/>
      </rPr>
      <t xml:space="preserve"> </t>
    </r>
    <r>
      <rPr>
        <sz val="11"/>
        <color rgb="FF409756"/>
        <rFont val="Arial"/>
        <family val="2"/>
      </rPr>
      <t>Volume 6+</t>
    </r>
  </si>
  <si>
    <r>
      <t xml:space="preserve">2.4 lb. bag </t>
    </r>
    <r>
      <rPr>
        <sz val="11"/>
        <color rgb="FF409756"/>
        <rFont val="Arial"/>
        <family val="2"/>
      </rPr>
      <t>Volume 6+</t>
    </r>
  </si>
  <si>
    <r>
      <t>2.5 gal bottle</t>
    </r>
    <r>
      <rPr>
        <sz val="11"/>
        <color rgb="FF00B050"/>
        <rFont val="Arial"/>
        <family val="2"/>
      </rPr>
      <t xml:space="preserve"> </t>
    </r>
    <r>
      <rPr>
        <sz val="11"/>
        <color rgb="FF409756"/>
        <rFont val="Arial"/>
        <family val="2"/>
      </rPr>
      <t>Volume 4+</t>
    </r>
  </si>
  <si>
    <r>
      <t>2.5 gal bottle</t>
    </r>
    <r>
      <rPr>
        <sz val="11"/>
        <color rgb="FF00B050"/>
        <rFont val="Arial"/>
        <family val="2"/>
      </rPr>
      <t xml:space="preserve"> </t>
    </r>
    <r>
      <rPr>
        <sz val="11"/>
        <color rgb="FF409756"/>
        <rFont val="Arial"/>
        <family val="2"/>
      </rPr>
      <t>Pairing 1</t>
    </r>
  </si>
  <si>
    <r>
      <t>60 fl oz. bottle</t>
    </r>
    <r>
      <rPr>
        <sz val="11"/>
        <color rgb="FF00B050"/>
        <rFont val="Arial"/>
        <family val="2"/>
      </rPr>
      <t xml:space="preserve"> </t>
    </r>
    <r>
      <rPr>
        <sz val="11"/>
        <color rgb="FF409756"/>
        <rFont val="Arial"/>
        <family val="2"/>
      </rPr>
      <t>Volume 8+</t>
    </r>
  </si>
  <si>
    <r>
      <t>1 pt. bottle</t>
    </r>
    <r>
      <rPr>
        <sz val="11"/>
        <color rgb="FF00B050"/>
        <rFont val="Arial"/>
        <family val="2"/>
      </rPr>
      <t xml:space="preserve"> </t>
    </r>
    <r>
      <rPr>
        <sz val="11"/>
        <color rgb="FF409756"/>
        <rFont val="Arial"/>
        <family val="2"/>
      </rPr>
      <t>Volume 8+</t>
    </r>
  </si>
  <si>
    <r>
      <t>1 gal. bottle</t>
    </r>
    <r>
      <rPr>
        <sz val="11"/>
        <color rgb="FF00B050"/>
        <rFont val="Arial"/>
        <family val="2"/>
      </rPr>
      <t xml:space="preserve"> </t>
    </r>
    <r>
      <rPr>
        <sz val="11"/>
        <color rgb="FF409756"/>
        <rFont val="Arial"/>
        <family val="2"/>
      </rPr>
      <t>Volume 4+</t>
    </r>
  </si>
  <si>
    <r>
      <t>1 gal. bottle</t>
    </r>
    <r>
      <rPr>
        <sz val="11"/>
        <color rgb="FF00B050"/>
        <rFont val="Arial"/>
        <family val="2"/>
      </rPr>
      <t xml:space="preserve"> </t>
    </r>
    <r>
      <rPr>
        <sz val="11"/>
        <color rgb="FF409756"/>
        <rFont val="Arial"/>
        <family val="2"/>
      </rPr>
      <t>Pairing 2</t>
    </r>
  </si>
  <si>
    <r>
      <t>30 lb. bag</t>
    </r>
    <r>
      <rPr>
        <sz val="11"/>
        <color rgb="FF409756"/>
        <rFont val="Arial"/>
        <family val="2"/>
      </rPr>
      <t xml:space="preserve"> Volume 50+</t>
    </r>
  </si>
  <si>
    <r>
      <t>64 fl oz. bottle</t>
    </r>
    <r>
      <rPr>
        <sz val="11"/>
        <color rgb="FF00B050"/>
        <rFont val="Arial"/>
        <family val="2"/>
      </rPr>
      <t xml:space="preserve"> </t>
    </r>
    <r>
      <rPr>
        <sz val="11"/>
        <color rgb="FF409756"/>
        <rFont val="Arial"/>
        <family val="2"/>
      </rPr>
      <t>Volume 8+</t>
    </r>
  </si>
  <si>
    <r>
      <t>30 lb. bag</t>
    </r>
    <r>
      <rPr>
        <sz val="11"/>
        <color rgb="FF00B050"/>
        <rFont val="Arial"/>
        <family val="2"/>
      </rPr>
      <t xml:space="preserve"> </t>
    </r>
    <r>
      <rPr>
        <sz val="11"/>
        <color rgb="FF409756"/>
        <rFont val="Arial"/>
        <family val="2"/>
      </rPr>
      <t>Volume 50+</t>
    </r>
  </si>
  <si>
    <r>
      <t>40 wt oz. bottle</t>
    </r>
    <r>
      <rPr>
        <sz val="11"/>
        <color rgb="FF00B050"/>
        <rFont val="Arial"/>
        <family val="2"/>
      </rPr>
      <t xml:space="preserve"> </t>
    </r>
    <r>
      <rPr>
        <sz val="11"/>
        <color rgb="FF409756"/>
        <rFont val="Arial"/>
        <family val="2"/>
      </rPr>
      <t>Volume 8+</t>
    </r>
  </si>
  <si>
    <r>
      <t xml:space="preserve">1 qt. bottle </t>
    </r>
    <r>
      <rPr>
        <sz val="11"/>
        <color rgb="FF409756"/>
        <rFont val="Arial"/>
        <family val="2"/>
      </rPr>
      <t>Volume 4+</t>
    </r>
  </si>
  <si>
    <r>
      <t xml:space="preserve">1 pt. bottle </t>
    </r>
    <r>
      <rPr>
        <sz val="11"/>
        <color rgb="FF409756"/>
        <rFont val="Arial"/>
        <family val="2"/>
      </rPr>
      <t>Volume 8+</t>
    </r>
  </si>
  <si>
    <r>
      <t xml:space="preserve">1 gal. bottle </t>
    </r>
    <r>
      <rPr>
        <sz val="11"/>
        <color rgb="FF409756"/>
        <rFont val="Arial"/>
        <family val="2"/>
      </rPr>
      <t>Volume 4+</t>
    </r>
  </si>
  <si>
    <r>
      <t>1 gal. bottle</t>
    </r>
    <r>
      <rPr>
        <sz val="11"/>
        <color rgb="FF409756"/>
        <rFont val="Arial"/>
        <family val="2"/>
      </rPr>
      <t xml:space="preserve"> Pairing 4</t>
    </r>
  </si>
  <si>
    <r>
      <t xml:space="preserve">3 lb. bottle </t>
    </r>
    <r>
      <rPr>
        <sz val="11"/>
        <color rgb="FF409756"/>
        <rFont val="Arial"/>
        <family val="2"/>
      </rPr>
      <t>Volume 4+</t>
    </r>
  </si>
  <si>
    <r>
      <t>1 lb. bag</t>
    </r>
    <r>
      <rPr>
        <sz val="11"/>
        <color rgb="FF00B050"/>
        <rFont val="Arial"/>
        <family val="2"/>
      </rPr>
      <t xml:space="preserve"> </t>
    </r>
    <r>
      <rPr>
        <sz val="11"/>
        <color rgb="FF409756"/>
        <rFont val="Arial"/>
        <family val="2"/>
      </rPr>
      <t>Volume 8+</t>
    </r>
  </si>
  <si>
    <r>
      <t xml:space="preserve">2.5 gal. bottle </t>
    </r>
    <r>
      <rPr>
        <sz val="11"/>
        <color rgb="FF409756"/>
        <rFont val="Arial"/>
        <family val="2"/>
      </rPr>
      <t>Volume 12+</t>
    </r>
  </si>
  <si>
    <r>
      <t xml:space="preserve">2.5 gal. bottle </t>
    </r>
    <r>
      <rPr>
        <sz val="11"/>
        <color rgb="FF409756"/>
        <rFont val="Arial"/>
        <family val="2"/>
      </rPr>
      <t>Volume 6+</t>
    </r>
  </si>
  <si>
    <r>
      <t>1 lb. bottle</t>
    </r>
    <r>
      <rPr>
        <sz val="11"/>
        <color rgb="FF00B050"/>
        <rFont val="Arial"/>
        <family val="2"/>
      </rPr>
      <t xml:space="preserve"> </t>
    </r>
    <r>
      <rPr>
        <sz val="11"/>
        <color rgb="FF409756"/>
        <rFont val="Arial"/>
        <family val="2"/>
      </rPr>
      <t>Volume 4+</t>
    </r>
  </si>
  <si>
    <r>
      <t>2.5 gal. bottle</t>
    </r>
    <r>
      <rPr>
        <sz val="11"/>
        <color rgb="FF00B050"/>
        <rFont val="Arial"/>
        <family val="2"/>
      </rPr>
      <t xml:space="preserve"> </t>
    </r>
    <r>
      <rPr>
        <sz val="11"/>
        <color rgb="FF409756"/>
        <rFont val="Arial"/>
        <family val="2"/>
      </rPr>
      <t>Volume 12+</t>
    </r>
  </si>
  <si>
    <r>
      <t>2.5 gal. bottle</t>
    </r>
    <r>
      <rPr>
        <sz val="11"/>
        <color rgb="FF409756"/>
        <rFont val="Arial"/>
        <family val="2"/>
      </rPr>
      <t xml:space="preserve"> Volume 6+</t>
    </r>
  </si>
  <si>
    <r>
      <t>5 lb. bottle</t>
    </r>
    <r>
      <rPr>
        <sz val="11"/>
        <color rgb="FF00B050"/>
        <rFont val="Arial"/>
        <family val="2"/>
      </rPr>
      <t xml:space="preserve"> </t>
    </r>
    <r>
      <rPr>
        <sz val="11"/>
        <color rgb="FF409756"/>
        <rFont val="Arial"/>
        <family val="2"/>
      </rPr>
      <t>Volume 4+</t>
    </r>
  </si>
  <si>
    <r>
      <t xml:space="preserve">64 fl oz. bottle </t>
    </r>
    <r>
      <rPr>
        <sz val="11"/>
        <color rgb="FF409756"/>
        <rFont val="Arial"/>
        <family val="2"/>
      </rPr>
      <t>Volume 8+</t>
    </r>
  </si>
  <si>
    <r>
      <rPr>
        <b/>
        <sz val="12"/>
        <color rgb="FF409756"/>
        <rFont val="Arial"/>
        <family val="2"/>
      </rPr>
      <t>ANUEW EZ 2.5 gal</t>
    </r>
    <r>
      <rPr>
        <sz val="12"/>
        <rFont val="Arial"/>
        <family val="2"/>
      </rPr>
      <t xml:space="preserve">
8+ Units
or
</t>
    </r>
    <r>
      <rPr>
        <b/>
        <sz val="12"/>
        <color rgb="FF409756"/>
        <rFont val="Arial"/>
        <family val="2"/>
      </rPr>
      <t>ANUEW 1.5 lb</t>
    </r>
    <r>
      <rPr>
        <sz val="12"/>
        <rFont val="Arial"/>
        <family val="2"/>
      </rPr>
      <t xml:space="preserve">
48+ Units</t>
    </r>
  </si>
  <si>
    <r>
      <rPr>
        <b/>
        <sz val="12"/>
        <color rgb="FF409756"/>
        <rFont val="Arial"/>
        <family val="2"/>
      </rPr>
      <t>TRACTION 2.5 gal</t>
    </r>
    <r>
      <rPr>
        <b/>
        <sz val="12"/>
        <color rgb="FF00563F"/>
        <rFont val="Arial"/>
        <family val="2"/>
      </rPr>
      <t xml:space="preserve">
</t>
    </r>
    <r>
      <rPr>
        <sz val="12"/>
        <rFont val="Arial"/>
        <family val="2"/>
      </rPr>
      <t>2+ Units</t>
    </r>
  </si>
  <si>
    <r>
      <rPr>
        <b/>
        <sz val="12"/>
        <color rgb="FF409756"/>
        <rFont val="Arial"/>
        <family val="2"/>
      </rPr>
      <t>CURATOR 2.5 gal</t>
    </r>
    <r>
      <rPr>
        <b/>
        <sz val="12"/>
        <color rgb="FF00563F"/>
        <rFont val="Arial"/>
        <family val="2"/>
      </rPr>
      <t xml:space="preserve">
</t>
    </r>
    <r>
      <rPr>
        <sz val="12"/>
        <rFont val="Arial"/>
        <family val="2"/>
      </rPr>
      <t>6+ Units</t>
    </r>
  </si>
  <si>
    <r>
      <rPr>
        <b/>
        <sz val="12"/>
        <color rgb="FF409756"/>
        <rFont val="Arial"/>
        <family val="2"/>
      </rPr>
      <t>TOURNEY EZ 1 gal</t>
    </r>
    <r>
      <rPr>
        <b/>
        <sz val="12"/>
        <color rgb="FF00563F"/>
        <rFont val="Arial"/>
        <family val="2"/>
      </rPr>
      <t xml:space="preserve">
</t>
    </r>
    <r>
      <rPr>
        <sz val="12"/>
        <rFont val="Arial"/>
        <family val="2"/>
      </rPr>
      <t>4+ Units</t>
    </r>
  </si>
  <si>
    <r>
      <rPr>
        <b/>
        <sz val="12"/>
        <color rgb="FF409756"/>
        <rFont val="Arial"/>
        <family val="2"/>
      </rPr>
      <t>TRACTION 2.5 gal</t>
    </r>
    <r>
      <rPr>
        <b/>
        <sz val="12"/>
        <color rgb="FF00563F"/>
        <rFont val="Arial"/>
        <family val="2"/>
      </rPr>
      <t xml:space="preserve">
</t>
    </r>
    <r>
      <rPr>
        <sz val="12"/>
        <rFont val="Arial"/>
        <family val="2"/>
      </rPr>
      <t>6+ Units</t>
    </r>
  </si>
  <si>
    <r>
      <rPr>
        <b/>
        <sz val="12"/>
        <color rgb="FF409756"/>
        <rFont val="Arial"/>
        <family val="2"/>
      </rPr>
      <t>OPTERAPRO 1 gal</t>
    </r>
    <r>
      <rPr>
        <b/>
        <sz val="12"/>
        <color rgb="FF00563F"/>
        <rFont val="Arial"/>
        <family val="2"/>
      </rPr>
      <t xml:space="preserve">
</t>
    </r>
    <r>
      <rPr>
        <sz val="12"/>
        <rFont val="Arial"/>
        <family val="2"/>
      </rPr>
      <t>4+ Units</t>
    </r>
  </si>
  <si>
    <r>
      <rPr>
        <b/>
        <sz val="12"/>
        <color rgb="FF409756"/>
        <rFont val="Arial"/>
        <family val="2"/>
      </rPr>
      <t>26/36 2.5 gal</t>
    </r>
    <r>
      <rPr>
        <b/>
        <sz val="12"/>
        <color rgb="FF00563F"/>
        <rFont val="Arial"/>
        <family val="2"/>
      </rPr>
      <t xml:space="preserve">
</t>
    </r>
    <r>
      <rPr>
        <sz val="12"/>
        <rFont val="Arial"/>
        <family val="2"/>
      </rPr>
      <t>6+ Units</t>
    </r>
  </si>
  <si>
    <t xml:space="preserve"> Select Product Segment:</t>
  </si>
  <si>
    <t>12 cool season
16 warm season</t>
  </si>
  <si>
    <t>27 cool season
36 warm season</t>
  </si>
  <si>
    <t>Greenhouse &amp; Nursery Products</t>
  </si>
  <si>
    <t>All Products</t>
  </si>
  <si>
    <t>https://support.microsoft.com/en-us/office/vba/enable-or-disable-macros-in-microsoft-365-files</t>
  </si>
  <si>
    <t>SIMPELL</t>
  </si>
  <si>
    <t>VERDATO</t>
  </si>
  <si>
    <t>64 fl oz. bottle Volume 4+</t>
  </si>
  <si>
    <r>
      <t xml:space="preserve">64 fl oz. bottle </t>
    </r>
    <r>
      <rPr>
        <sz val="11"/>
        <color rgb="FF409756"/>
        <rFont val="Arial"/>
        <family val="2"/>
      </rPr>
      <t>Volume 4+</t>
    </r>
  </si>
  <si>
    <t>YOUR TREATED ACRES
(or gallons mix)</t>
  </si>
  <si>
    <t>Select EOP Period:</t>
  </si>
  <si>
    <t>Follow these steps below to calculate your EOP Rebate:</t>
  </si>
  <si>
    <t>4. Print or save the page as a PDF: On Windows: Ctrl + [P] | On Mac: Command + [P]</t>
  </si>
  <si>
    <t>PRICE/UNIT
(optional)</t>
  </si>
  <si>
    <t>2.5 gal. bottle Pairing 1-4</t>
  </si>
  <si>
    <t>SIMPELL 4x1 Qt Case</t>
  </si>
  <si>
    <t>SIMPELL 4x1 Gallon Case</t>
  </si>
  <si>
    <t>2.5 gal. bottle Pairing 5</t>
  </si>
  <si>
    <t>2.5 gal. bottle Volume 4+</t>
  </si>
  <si>
    <r>
      <t>2.5 gal. bottle</t>
    </r>
    <r>
      <rPr>
        <sz val="11"/>
        <color rgb="FF00B050"/>
        <rFont val="Arial"/>
        <family val="2"/>
      </rPr>
      <t xml:space="preserve"> </t>
    </r>
    <r>
      <rPr>
        <sz val="11"/>
        <color rgb="FF409756"/>
        <rFont val="Arial"/>
        <family val="2"/>
      </rPr>
      <t>Pairing 1-4</t>
    </r>
  </si>
  <si>
    <r>
      <t>2.5 gal. bottle</t>
    </r>
    <r>
      <rPr>
        <sz val="11"/>
        <color rgb="FF00B050"/>
        <rFont val="Arial"/>
        <family val="2"/>
      </rPr>
      <t xml:space="preserve"> </t>
    </r>
    <r>
      <rPr>
        <sz val="11"/>
        <color rgb="FF409756"/>
        <rFont val="Arial"/>
        <family val="2"/>
      </rPr>
      <t>Pairing 5</t>
    </r>
  </si>
  <si>
    <r>
      <t>2.5 gal. bottle</t>
    </r>
    <r>
      <rPr>
        <sz val="11"/>
        <color rgb="FF00B050"/>
        <rFont val="Arial"/>
        <family val="2"/>
      </rPr>
      <t xml:space="preserve"> </t>
    </r>
    <r>
      <rPr>
        <sz val="11"/>
        <color rgb="FF409756"/>
        <rFont val="Arial"/>
        <family val="2"/>
      </rPr>
      <t>Volume 4+</t>
    </r>
  </si>
  <si>
    <t>EOP 1</t>
  </si>
  <si>
    <t>EOP 2</t>
  </si>
  <si>
    <r>
      <t>2.5 gal. bottle</t>
    </r>
    <r>
      <rPr>
        <sz val="11"/>
        <color rgb="FF00B050"/>
        <rFont val="Arial"/>
        <family val="2"/>
      </rPr>
      <t xml:space="preserve"> </t>
    </r>
    <r>
      <rPr>
        <sz val="11"/>
        <color rgb="FF409756"/>
        <rFont val="Arial"/>
        <family val="2"/>
      </rPr>
      <t>Pairing 3</t>
    </r>
  </si>
  <si>
    <t>2.5 gal. bottle Pairing 3</t>
  </si>
  <si>
    <t>AK, CA, HI, KS, NM, PR</t>
  </si>
  <si>
    <t>AK, AZ, CA, HI, PR</t>
  </si>
  <si>
    <t>AK, CA, IL, PR</t>
  </si>
  <si>
    <t>AZ, PR
NY DEC 326.23(e) Not For Sale or Use on Long Island</t>
  </si>
  <si>
    <t>AK, CA, CT, IA, ID, MA, ME, MI, MN, MT, ND, NH, NY, OR, PR, RI, SD, VT, WA, WI, WY</t>
  </si>
  <si>
    <r>
      <rPr>
        <b/>
        <sz val="12"/>
        <rFont val="Arial"/>
        <family val="2"/>
      </rPr>
      <t>Program Periods:</t>
    </r>
    <r>
      <rPr>
        <sz val="12"/>
        <rFont val="Arial"/>
        <family val="2"/>
      </rPr>
      <t xml:space="preserve">
</t>
    </r>
    <r>
      <rPr>
        <b/>
        <sz val="12"/>
        <rFont val="Arial"/>
        <family val="2"/>
      </rPr>
      <t>EOP 1</t>
    </r>
    <r>
      <rPr>
        <sz val="12"/>
        <rFont val="Arial"/>
        <family val="2"/>
      </rPr>
      <t xml:space="preserve">: Sep 1 - Oct 31, 2026 (Volume Bonus rebates available.)
</t>
    </r>
    <r>
      <rPr>
        <b/>
        <sz val="12"/>
        <rFont val="Arial"/>
        <family val="2"/>
      </rPr>
      <t>EOP 2</t>
    </r>
    <r>
      <rPr>
        <sz val="12"/>
        <rFont val="Arial"/>
        <family val="2"/>
      </rPr>
      <t>: Nov 1 - Dec 4, 2026</t>
    </r>
  </si>
  <si>
    <t>UNITS
(required)</t>
  </si>
  <si>
    <t>2. Select the "EOP Period" and "Product Segment", then enter values in "Price/Unit" (optional), "Units" (required) and "Own App Rate" (optional) fields in the table to calculate your Total Rebate.</t>
  </si>
  <si>
    <t>Customer:</t>
  </si>
  <si>
    <t>Golf &amp; Turf Products</t>
  </si>
  <si>
    <t>For product and application details, please visit:</t>
  </si>
  <si>
    <t>https://nufarm.com/usturf/</t>
  </si>
  <si>
    <t>Enroll in the Nufarm Edge Rewards (NufarmRewards.com) program from September 1 to December 4, 2026, to be eligible. If previously registered, there's no need to sign up again.
Verify your account and loyalty number by filling out the online registration form at NufarmRewards.com using the same email address you registered with. Account details will be sent via email.</t>
  </si>
  <si>
    <r>
      <rPr>
        <b/>
        <sz val="14"/>
        <color rgb="FF409756"/>
        <rFont val="Arial"/>
        <family val="2"/>
      </rPr>
      <t>Turf EZ Solution Pairings</t>
    </r>
    <r>
      <rPr>
        <sz val="12"/>
        <rFont val="Arial"/>
        <family val="2"/>
      </rPr>
      <t xml:space="preserve">
Turf EZ Solution pairings are your best value combinations available Sep 1 – Dec 4, 2026. Purchase the product combinations at the minimum required quantities on a single invoice. Choose either Anuew EZ or Anuew, then select one pairing, or combine multiple products – Curator, Tourney EZ, Traction, or OpteraPro.</t>
    </r>
  </si>
  <si>
    <t>Help to enable macros:</t>
  </si>
  <si>
    <t>READ FIRST:   Our new calculator offers collapse-to-print functionality that you'll appreciate,
but you must save the file to your PC and select "enable content" to enable macros when prompted.
If you missed making this selection, close the file and open again.</t>
  </si>
  <si>
    <t>IMPORTANT:
Select "Enable Content" to 
enable macros providing 
new functionality.</t>
  </si>
  <si>
    <t>OPTERAPRO DUO GC 4x64 Fl oz Case</t>
  </si>
  <si>
    <t>OPTERAPRO DUO GC 2x2.5 Gallon Case</t>
  </si>
  <si>
    <t>OPTERAPRO DUO LC 4x64 Fl oz Case</t>
  </si>
  <si>
    <t>OPTERAPRO DUO LC 2x2.5 Gallon Case</t>
  </si>
  <si>
    <t>OPTERAPRO DUO GC</t>
  </si>
  <si>
    <t>OPTERAPRO DUO LC</t>
  </si>
  <si>
    <t>OpteraPro DUO GC</t>
  </si>
  <si>
    <t>OpteraPro DUO LC</t>
  </si>
  <si>
    <t>OpterPro DUO GC</t>
  </si>
  <si>
    <t>OpterPro DUO LC</t>
  </si>
  <si>
    <t>Restricted Use Pesticide
Refer to CDMS for state registrations</t>
  </si>
  <si>
    <t xml:space="preserve">Refer to CDMS for state registrations
Not for use on golf courses, nurseries or sod farms.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</si>
</sst>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_(* #,##0_);_(* \(#,##0\);_(* &quot;-&quot;??_);_(@_)"/>
    <numFmt numFmtId="165" formatCode="&quot;$&quot;#,##0.00"/>
    <numFmt numFmtId="166" formatCode="0.0"/>
    <numFmt numFmtId="167" formatCode="\(0\ &quot;gal&quot;\)"/>
  </numFmts>
  <fonts count="49" x14ac:knownFonts="1">
    <font>
      <sz val="10"/>
      <name val="Verdana"/>
      <family val="2"/>
    </font>
    <font>
      <sz val="11"/>
      <color theme="1"/>
      <name val="Calibri"/>
      <family val="2"/>
      <scheme val="minor"/>
    </font>
    <font>
      <sz val="11"/>
      <color theme="1"/>
      <name val="Calibri"/>
      <family val="2"/>
      <scheme val="minor"/>
    </font>
    <font>
      <sz val="10"/>
      <name val="Verdana"/>
      <family val="2"/>
    </font>
    <font>
      <b/>
      <sz val="10"/>
      <name val="Verdana"/>
      <family val="2"/>
    </font>
    <font>
      <b/>
      <sz val="14"/>
      <name val="Verdana"/>
      <family val="2"/>
    </font>
    <font>
      <sz val="14"/>
      <name val="Verdana"/>
      <family val="2"/>
    </font>
    <font>
      <sz val="8"/>
      <name val="Verdana"/>
      <family val="2"/>
    </font>
    <font>
      <sz val="11"/>
      <color theme="1"/>
      <name val="Calibri"/>
      <family val="2"/>
    </font>
    <font>
      <sz val="10"/>
      <name val="Verdana"/>
      <family val="2"/>
    </font>
    <font>
      <sz val="10"/>
      <name val="Arial"/>
      <family val="2"/>
    </font>
    <font>
      <sz val="12"/>
      <name val="Arial"/>
      <family val="2"/>
    </font>
    <font>
      <b/>
      <sz val="14"/>
      <name val="Arial"/>
      <family val="2"/>
    </font>
    <font>
      <b/>
      <sz val="12"/>
      <name val="Arial"/>
      <family val="2"/>
    </font>
    <font>
      <sz val="11"/>
      <name val="Arial"/>
      <family val="2"/>
    </font>
    <font>
      <b/>
      <sz val="10"/>
      <name val="Arial"/>
      <family val="2"/>
    </font>
    <font>
      <b/>
      <sz val="16"/>
      <name val="Arial"/>
      <family val="2"/>
    </font>
    <font>
      <b/>
      <sz val="11"/>
      <name val="Arial"/>
      <family val="2"/>
    </font>
    <font>
      <b/>
      <i/>
      <sz val="12"/>
      <name val="Arial"/>
      <family val="2"/>
    </font>
    <font>
      <vertAlign val="superscript"/>
      <sz val="11"/>
      <name val="Arial"/>
      <family val="2"/>
    </font>
    <font>
      <sz val="11"/>
      <color rgb="FFC00000"/>
      <name val="Arial"/>
      <family val="2"/>
    </font>
    <font>
      <sz val="11"/>
      <name val="Calibri"/>
      <family val="2"/>
      <scheme val="minor"/>
    </font>
    <font>
      <sz val="11"/>
      <color rgb="FF797879"/>
      <name val="Arial"/>
      <family val="2"/>
    </font>
    <font>
      <b/>
      <sz val="13"/>
      <color theme="0"/>
      <name val="Arial"/>
      <family val="2"/>
    </font>
    <font>
      <sz val="14"/>
      <name val="Arial"/>
      <family val="2"/>
    </font>
    <font>
      <sz val="11"/>
      <color rgb="FF00B050"/>
      <name val="Arial"/>
      <family val="2"/>
    </font>
    <font>
      <b/>
      <sz val="12"/>
      <color rgb="FFFFFFFF"/>
      <name val="Arial"/>
      <family val="2"/>
    </font>
    <font>
      <sz val="12"/>
      <name val="Verdana"/>
      <family val="2"/>
    </font>
    <font>
      <b/>
      <sz val="12"/>
      <color rgb="FF00563F"/>
      <name val="Arial"/>
      <family val="2"/>
    </font>
    <font>
      <sz val="11"/>
      <color rgb="FF2A5F36"/>
      <name val="Arial"/>
      <family val="2"/>
    </font>
    <font>
      <sz val="13"/>
      <color rgb="FF2A5F36"/>
      <name val="Arial"/>
      <family val="2"/>
    </font>
    <font>
      <b/>
      <sz val="13"/>
      <color rgb="FF2A5F36"/>
      <name val="Arial"/>
      <family val="2"/>
    </font>
    <font>
      <i/>
      <sz val="18"/>
      <name val="Arial"/>
      <family val="2"/>
    </font>
    <font>
      <sz val="18"/>
      <name val="Arial"/>
      <family val="2"/>
    </font>
    <font>
      <b/>
      <sz val="14"/>
      <color rgb="FF409756"/>
      <name val="Arial"/>
      <family val="2"/>
    </font>
    <font>
      <b/>
      <sz val="16"/>
      <color rgb="FF2A5F36"/>
      <name val="Arial"/>
      <family val="2"/>
    </font>
    <font>
      <b/>
      <sz val="12"/>
      <color theme="0"/>
      <name val="Arial"/>
      <family val="2"/>
    </font>
    <font>
      <u/>
      <sz val="12"/>
      <color rgb="FF409756"/>
      <name val="Arial"/>
      <family val="2"/>
    </font>
    <font>
      <sz val="11"/>
      <color rgb="FF409756"/>
      <name val="Arial"/>
      <family val="2"/>
    </font>
    <font>
      <b/>
      <sz val="12"/>
      <color rgb="FF409756"/>
      <name val="Arial"/>
      <family val="2"/>
    </font>
    <font>
      <b/>
      <sz val="18"/>
      <color rgb="FF409756"/>
      <name val="Arial"/>
      <family val="2"/>
    </font>
    <font>
      <b/>
      <sz val="14"/>
      <color rgb="FF2A5F36"/>
      <name val="Arial"/>
      <family val="2"/>
    </font>
    <font>
      <sz val="12"/>
      <name val="Helvetica"/>
      <family val="2"/>
    </font>
    <font>
      <u/>
      <sz val="10"/>
      <color theme="10"/>
      <name val="Verdana"/>
      <family val="2"/>
    </font>
    <font>
      <b/>
      <sz val="12"/>
      <color rgb="FF2A5F36"/>
      <name val="Arial"/>
      <family val="2"/>
    </font>
    <font>
      <b/>
      <sz val="20"/>
      <color rgb="FF409756"/>
      <name val="Arial"/>
      <family val="2"/>
    </font>
    <font>
      <sz val="13"/>
      <name val="Arial"/>
      <family val="2"/>
    </font>
    <font>
      <b/>
      <sz val="13"/>
      <name val="Arial"/>
      <family val="2"/>
    </font>
    <font>
      <b/>
      <u/>
      <sz val="12"/>
      <color theme="10"/>
      <name val="Arial"/>
      <family val="2"/>
    </font>
  </fonts>
  <fills count="1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008A3E"/>
        <bgColor indexed="64"/>
      </patternFill>
    </fill>
    <fill>
      <patternFill patternType="solid">
        <fgColor rgb="FF76B531"/>
        <bgColor indexed="64"/>
      </patternFill>
    </fill>
    <fill>
      <patternFill patternType="solid">
        <fgColor theme="4" tint="-0.249977111117893"/>
        <bgColor indexed="64"/>
      </patternFill>
    </fill>
    <fill>
      <patternFill patternType="solid">
        <fgColor rgb="FFB5C0A8"/>
        <bgColor indexed="64"/>
      </patternFill>
    </fill>
    <fill>
      <patternFill patternType="solid">
        <fgColor rgb="FFFDB501"/>
        <bgColor indexed="64"/>
      </patternFill>
    </fill>
    <fill>
      <patternFill patternType="solid">
        <fgColor rgb="FF9DCE68"/>
        <bgColor indexed="64"/>
      </patternFill>
    </fill>
    <fill>
      <patternFill patternType="solid">
        <fgColor rgb="FF622E0A"/>
        <bgColor indexed="64"/>
      </patternFill>
    </fill>
    <fill>
      <patternFill patternType="solid">
        <fgColor rgb="FFFFFFCC"/>
        <bgColor rgb="FF000000"/>
      </patternFill>
    </fill>
    <fill>
      <patternFill patternType="solid">
        <fgColor rgb="FF409756"/>
        <bgColor indexed="64"/>
      </patternFill>
    </fill>
    <fill>
      <patternFill patternType="solid">
        <fgColor rgb="FFF8FBEE"/>
        <bgColor indexed="64"/>
      </patternFill>
    </fill>
    <fill>
      <patternFill patternType="solid">
        <fgColor theme="9"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rgb="FF000000"/>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rgb="FF2A5F36"/>
      </left>
      <right style="medium">
        <color rgb="FF2A5F36"/>
      </right>
      <top style="medium">
        <color rgb="FF2A5F36"/>
      </top>
      <bottom/>
      <diagonal/>
    </border>
    <border>
      <left style="medium">
        <color rgb="FF2A5F36"/>
      </left>
      <right style="medium">
        <color rgb="FF2A5F36"/>
      </right>
      <top/>
      <bottom style="medium">
        <color rgb="FF2A5F36"/>
      </bottom>
      <diagonal/>
    </border>
    <border>
      <left/>
      <right style="thin">
        <color rgb="FF000000"/>
      </right>
      <top style="thin">
        <color indexed="64"/>
      </top>
      <bottom/>
      <diagonal/>
    </border>
    <border>
      <left style="thin">
        <color indexed="64"/>
      </left>
      <right/>
      <top/>
      <bottom style="thin">
        <color rgb="FF000000"/>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8">
    <xf numFmtId="0" fontId="0" fillId="0" borderId="0"/>
    <xf numFmtId="43" fontId="2" fillId="0" borderId="0" applyFont="0" applyFill="0" applyBorder="0" applyAlignment="0" applyProtection="0"/>
    <xf numFmtId="44" fontId="3" fillId="0" borderId="0" applyFont="0" applyFill="0" applyBorder="0" applyAlignment="0" applyProtection="0"/>
    <xf numFmtId="0" fontId="8" fillId="0" borderId="0"/>
    <xf numFmtId="0" fontId="9" fillId="0" borderId="0"/>
    <xf numFmtId="0" fontId="1" fillId="0" borderId="0"/>
    <xf numFmtId="0" fontId="3" fillId="0" borderId="0"/>
    <xf numFmtId="0" fontId="43" fillId="0" borderId="0" applyNumberFormat="0" applyFill="0" applyBorder="0" applyAlignment="0" applyProtection="0"/>
  </cellStyleXfs>
  <cellXfs count="304">
    <xf numFmtId="0" fontId="0" fillId="0" borderId="0" xfId="0"/>
    <xf numFmtId="0" fontId="4" fillId="0" borderId="0" xfId="0" applyFont="1"/>
    <xf numFmtId="164" fontId="0" fillId="0" borderId="1" xfId="1" applyNumberFormat="1" applyFont="1" applyFill="1" applyBorder="1"/>
    <xf numFmtId="164" fontId="0" fillId="0" borderId="0" xfId="1" applyNumberFormat="1" applyFont="1"/>
    <xf numFmtId="44" fontId="0" fillId="0" borderId="0" xfId="2" applyFont="1" applyAlignment="1">
      <alignment horizontal="center" vertical="center" wrapText="1"/>
    </xf>
    <xf numFmtId="0" fontId="7" fillId="0" borderId="0" xfId="0" applyFont="1"/>
    <xf numFmtId="0" fontId="7" fillId="0" borderId="0" xfId="0" applyFont="1" applyAlignment="1">
      <alignment wrapText="1"/>
    </xf>
    <xf numFmtId="0" fontId="0" fillId="0" borderId="0" xfId="0" applyAlignment="1">
      <alignment horizontal="left"/>
    </xf>
    <xf numFmtId="0" fontId="7" fillId="0" borderId="0" xfId="0" applyFont="1" applyAlignment="1">
      <alignment horizontal="left" wrapText="1"/>
    </xf>
    <xf numFmtId="0" fontId="7" fillId="0" borderId="0" xfId="0" applyFont="1" applyAlignment="1">
      <alignment horizontal="left"/>
    </xf>
    <xf numFmtId="165" fontId="0" fillId="0" borderId="1" xfId="2" applyNumberFormat="1" applyFont="1" applyFill="1" applyBorder="1" applyAlignment="1">
      <alignment horizontal="right" vertical="center" wrapText="1"/>
    </xf>
    <xf numFmtId="164" fontId="0" fillId="0" borderId="0" xfId="1" applyNumberFormat="1" applyFont="1" applyFill="1"/>
    <xf numFmtId="44" fontId="0" fillId="0" borderId="0" xfId="2" applyFont="1" applyFill="1" applyAlignment="1">
      <alignment horizontal="center" vertical="center" wrapText="1"/>
    </xf>
    <xf numFmtId="0" fontId="24" fillId="0" borderId="0" xfId="0" applyFont="1"/>
    <xf numFmtId="0" fontId="4" fillId="0" borderId="0" xfId="2" applyNumberFormat="1" applyFont="1" applyAlignment="1">
      <alignment horizontal="center" wrapText="1"/>
    </xf>
    <xf numFmtId="0" fontId="4" fillId="0" borderId="0" xfId="1" applyNumberFormat="1" applyFont="1" applyAlignment="1">
      <alignment horizontal="center"/>
    </xf>
    <xf numFmtId="0" fontId="4" fillId="0" borderId="0" xfId="2" applyNumberFormat="1" applyFont="1" applyAlignment="1">
      <alignment horizontal="center"/>
    </xf>
    <xf numFmtId="165" fontId="0" fillId="0" borderId="8" xfId="2" applyNumberFormat="1" applyFont="1" applyFill="1" applyBorder="1" applyAlignment="1">
      <alignment horizontal="right" vertical="center" wrapText="1"/>
    </xf>
    <xf numFmtId="164" fontId="0" fillId="0" borderId="8" xfId="1" applyNumberFormat="1" applyFont="1" applyFill="1" applyBorder="1"/>
    <xf numFmtId="165" fontId="0" fillId="0" borderId="1" xfId="1" applyNumberFormat="1" applyFont="1" applyFill="1" applyBorder="1"/>
    <xf numFmtId="0" fontId="17" fillId="0" borderId="0" xfId="0" applyFont="1" applyAlignment="1">
      <alignment horizontal="right" vertical="center"/>
    </xf>
    <xf numFmtId="165" fontId="17" fillId="0" borderId="0" xfId="2" applyNumberFormat="1" applyFont="1" applyFill="1" applyBorder="1" applyAlignment="1" applyProtection="1">
      <alignment horizontal="right" vertical="center" wrapText="1"/>
    </xf>
    <xf numFmtId="0" fontId="23" fillId="4" borderId="5" xfId="0" applyFont="1" applyFill="1" applyBorder="1" applyAlignment="1">
      <alignment horizontal="center" vertical="center" wrapText="1"/>
    </xf>
    <xf numFmtId="0" fontId="23" fillId="4" borderId="5" xfId="0" applyFont="1" applyFill="1" applyBorder="1" applyAlignment="1">
      <alignment horizontal="center" vertical="center"/>
    </xf>
    <xf numFmtId="0" fontId="10" fillId="0" borderId="0" xfId="0" applyFont="1"/>
    <xf numFmtId="164" fontId="10" fillId="0" borderId="0" xfId="1" applyNumberFormat="1" applyFont="1" applyProtection="1"/>
    <xf numFmtId="44" fontId="10" fillId="0" borderId="0" xfId="2" applyFont="1" applyAlignment="1" applyProtection="1">
      <alignment horizontal="center" vertical="center" wrapText="1"/>
    </xf>
    <xf numFmtId="0" fontId="10" fillId="0" borderId="0" xfId="2" applyNumberFormat="1" applyFont="1" applyProtection="1"/>
    <xf numFmtId="0" fontId="10" fillId="0" borderId="0" xfId="0" applyFont="1" applyAlignment="1">
      <alignment horizontal="left"/>
    </xf>
    <xf numFmtId="0" fontId="24" fillId="0" borderId="0" xfId="0" applyFont="1" applyAlignment="1">
      <alignment horizontal="center" vertical="center"/>
    </xf>
    <xf numFmtId="44" fontId="10" fillId="0" borderId="0" xfId="2" applyFont="1" applyFill="1" applyAlignment="1" applyProtection="1">
      <alignment horizontal="center" vertical="center"/>
    </xf>
    <xf numFmtId="0" fontId="10" fillId="0" borderId="0" xfId="0" applyFont="1" applyAlignment="1">
      <alignment horizontal="left" vertical="top"/>
    </xf>
    <xf numFmtId="44" fontId="10" fillId="0" borderId="0" xfId="2" applyFont="1" applyFill="1" applyAlignment="1" applyProtection="1">
      <alignment horizontal="center" vertical="center" wrapText="1"/>
    </xf>
    <xf numFmtId="0" fontId="11" fillId="0" borderId="0" xfId="0" applyFont="1"/>
    <xf numFmtId="0" fontId="16" fillId="0" borderId="0" xfId="0" applyFont="1" applyAlignment="1">
      <alignment wrapText="1"/>
    </xf>
    <xf numFmtId="0" fontId="15" fillId="0" borderId="0" xfId="0" applyFont="1"/>
    <xf numFmtId="0" fontId="14" fillId="0" borderId="1" xfId="0" applyFont="1" applyBorder="1" applyAlignment="1">
      <alignment horizontal="center"/>
    </xf>
    <xf numFmtId="0" fontId="14" fillId="0" borderId="1" xfId="0" applyFont="1" applyBorder="1" applyAlignment="1">
      <alignment horizontal="left" vertical="center"/>
    </xf>
    <xf numFmtId="0" fontId="11" fillId="0" borderId="18" xfId="0" applyFont="1" applyBorder="1" applyAlignment="1">
      <alignment horizontal="center" vertical="center" wrapText="1"/>
    </xf>
    <xf numFmtId="0" fontId="10" fillId="0" borderId="0" xfId="2" applyNumberFormat="1" applyFont="1" applyFill="1" applyBorder="1" applyProtection="1"/>
    <xf numFmtId="0" fontId="18" fillId="0" borderId="0" xfId="0" applyFont="1" applyAlignment="1">
      <alignment horizontal="left"/>
    </xf>
    <xf numFmtId="0" fontId="14" fillId="0" borderId="0" xfId="0" applyFont="1" applyAlignment="1">
      <alignment horizontal="center"/>
    </xf>
    <xf numFmtId="0" fontId="14" fillId="0" borderId="0" xfId="0" applyFont="1" applyAlignment="1">
      <alignment horizontal="left"/>
    </xf>
    <xf numFmtId="0" fontId="14" fillId="0" borderId="0" xfId="1" applyNumberFormat="1" applyFont="1" applyFill="1" applyBorder="1" applyAlignment="1" applyProtection="1">
      <alignment horizontal="center" wrapText="1"/>
    </xf>
    <xf numFmtId="165" fontId="14" fillId="0" borderId="0" xfId="2" applyNumberFormat="1" applyFont="1" applyFill="1" applyBorder="1" applyAlignment="1" applyProtection="1">
      <alignment horizontal="right" wrapText="1"/>
    </xf>
    <xf numFmtId="2" fontId="14" fillId="0" borderId="0" xfId="2" applyNumberFormat="1" applyFont="1" applyFill="1" applyBorder="1" applyAlignment="1" applyProtection="1">
      <alignment horizontal="center"/>
    </xf>
    <xf numFmtId="167" fontId="14" fillId="0" borderId="0" xfId="0" applyNumberFormat="1" applyFont="1" applyAlignment="1">
      <alignment horizontal="center"/>
    </xf>
    <xf numFmtId="165" fontId="14" fillId="0" borderId="0" xfId="2" applyNumberFormat="1" applyFont="1" applyFill="1" applyBorder="1" applyProtection="1"/>
    <xf numFmtId="164" fontId="0" fillId="0" borderId="1" xfId="1" applyNumberFormat="1" applyFont="1" applyFill="1" applyBorder="1" applyAlignment="1">
      <alignment horizontal="right" vertical="center" wrapText="1"/>
    </xf>
    <xf numFmtId="164" fontId="0" fillId="2" borderId="0" xfId="1" applyNumberFormat="1" applyFont="1" applyFill="1" applyAlignment="1">
      <alignment horizontal="center"/>
    </xf>
    <xf numFmtId="164" fontId="5" fillId="0" borderId="0" xfId="1" applyNumberFormat="1" applyFont="1" applyFill="1" applyAlignment="1">
      <alignment horizontal="center"/>
    </xf>
    <xf numFmtId="44" fontId="6" fillId="0" borderId="0" xfId="2" applyFont="1" applyFill="1" applyAlignment="1">
      <alignment horizontal="center"/>
    </xf>
    <xf numFmtId="0" fontId="11" fillId="0" borderId="1" xfId="0" applyFont="1" applyBorder="1" applyAlignment="1">
      <alignment horizontal="center" vertical="center" wrapText="1"/>
    </xf>
    <xf numFmtId="0" fontId="14" fillId="0" borderId="8" xfId="0" applyFont="1" applyBorder="1" applyAlignment="1">
      <alignment horizontal="left" vertical="center"/>
    </xf>
    <xf numFmtId="0" fontId="14" fillId="0" borderId="8" xfId="0" applyFont="1" applyBorder="1" applyAlignment="1">
      <alignment horizontal="left" vertical="center" wrapText="1"/>
    </xf>
    <xf numFmtId="0" fontId="14" fillId="0" borderId="4" xfId="0" applyFont="1" applyBorder="1" applyAlignment="1">
      <alignment horizontal="center"/>
    </xf>
    <xf numFmtId="0" fontId="17" fillId="5" borderId="6" xfId="0" applyFont="1" applyFill="1" applyBorder="1" applyAlignment="1">
      <alignment horizontal="center" vertical="center"/>
    </xf>
    <xf numFmtId="0" fontId="24" fillId="0" borderId="0" xfId="0" applyFont="1" applyAlignment="1">
      <alignment horizontal="center"/>
    </xf>
    <xf numFmtId="0" fontId="0" fillId="0" borderId="9" xfId="0" applyBorder="1" applyAlignment="1">
      <alignment horizontal="center"/>
    </xf>
    <xf numFmtId="0" fontId="0" fillId="0" borderId="1" xfId="0" applyBorder="1"/>
    <xf numFmtId="0" fontId="0" fillId="0" borderId="1" xfId="0" applyBorder="1" applyAlignment="1">
      <alignment horizontal="left"/>
    </xf>
    <xf numFmtId="0" fontId="0" fillId="0" borderId="3" xfId="0" applyBorder="1"/>
    <xf numFmtId="0" fontId="0" fillId="0" borderId="11" xfId="0" applyBorder="1" applyAlignment="1">
      <alignment horizontal="center"/>
    </xf>
    <xf numFmtId="0" fontId="0" fillId="0" borderId="8" xfId="0" applyBorder="1"/>
    <xf numFmtId="0" fontId="0" fillId="0" borderId="8" xfId="0" applyBorder="1" applyAlignment="1">
      <alignment horizontal="left"/>
    </xf>
    <xf numFmtId="164" fontId="0" fillId="0" borderId="1" xfId="1" applyNumberFormat="1" applyFont="1" applyFill="1" applyBorder="1" applyAlignment="1">
      <alignment horizontal="center" vertical="center" wrapText="1"/>
    </xf>
    <xf numFmtId="0" fontId="14" fillId="0" borderId="1" xfId="0" applyFont="1" applyBorder="1" applyAlignment="1">
      <alignment horizontal="left" vertical="center" wrapText="1"/>
    </xf>
    <xf numFmtId="164" fontId="13" fillId="0" borderId="0" xfId="1" applyNumberFormat="1" applyFont="1" applyAlignment="1" applyProtection="1">
      <alignment horizontal="right" vertical="center"/>
    </xf>
    <xf numFmtId="0" fontId="14" fillId="0" borderId="5" xfId="0" applyFont="1" applyBorder="1" applyAlignment="1">
      <alignment horizontal="center"/>
    </xf>
    <xf numFmtId="0" fontId="14" fillId="0" borderId="23" xfId="0" applyFont="1" applyBorder="1" applyAlignment="1">
      <alignment horizontal="center"/>
    </xf>
    <xf numFmtId="0" fontId="14" fillId="0" borderId="5" xfId="0" applyFont="1" applyBorder="1" applyAlignment="1">
      <alignment horizontal="left" vertical="center"/>
    </xf>
    <xf numFmtId="0" fontId="3" fillId="0" borderId="0" xfId="6"/>
    <xf numFmtId="0" fontId="33" fillId="0" borderId="0" xfId="6" applyFont="1" applyAlignment="1">
      <alignment horizontal="center"/>
    </xf>
    <xf numFmtId="0" fontId="11" fillId="0" borderId="0" xfId="0" applyFont="1" applyAlignment="1">
      <alignment vertical="center" wrapText="1"/>
    </xf>
    <xf numFmtId="165" fontId="14" fillId="3" borderId="5" xfId="1" applyNumberFormat="1" applyFont="1" applyFill="1" applyBorder="1" applyAlignment="1" applyProtection="1">
      <alignment horizontal="center" vertical="center" wrapText="1"/>
      <protection locked="0"/>
    </xf>
    <xf numFmtId="0" fontId="14" fillId="3" borderId="5" xfId="1" applyNumberFormat="1" applyFont="1" applyFill="1" applyBorder="1" applyAlignment="1" applyProtection="1">
      <alignment horizontal="center" vertical="center" wrapText="1"/>
      <protection locked="0"/>
    </xf>
    <xf numFmtId="165" fontId="14" fillId="3" borderId="1" xfId="1" applyNumberFormat="1" applyFont="1" applyFill="1" applyBorder="1" applyAlignment="1" applyProtection="1">
      <alignment horizontal="center" vertical="center" wrapText="1"/>
      <protection locked="0"/>
    </xf>
    <xf numFmtId="0" fontId="14" fillId="3" borderId="1" xfId="1" applyNumberFormat="1" applyFont="1" applyFill="1" applyBorder="1" applyAlignment="1" applyProtection="1">
      <alignment horizontal="center" vertical="center" wrapText="1"/>
      <protection locked="0"/>
    </xf>
    <xf numFmtId="165" fontId="14" fillId="0" borderId="5" xfId="2" applyNumberFormat="1" applyFont="1" applyFill="1" applyBorder="1" applyAlignment="1" applyProtection="1">
      <alignment vertical="center"/>
    </xf>
    <xf numFmtId="165" fontId="14" fillId="0" borderId="5" xfId="2" applyNumberFormat="1" applyFont="1" applyFill="1" applyBorder="1" applyAlignment="1" applyProtection="1">
      <alignment horizontal="right" vertical="center" wrapText="1"/>
    </xf>
    <xf numFmtId="2" fontId="14" fillId="3" borderId="5" xfId="1" applyNumberFormat="1" applyFont="1" applyFill="1" applyBorder="1" applyAlignment="1" applyProtection="1">
      <alignment horizontal="center" vertical="center" wrapText="1"/>
      <protection locked="0"/>
    </xf>
    <xf numFmtId="2" fontId="14" fillId="3" borderId="1" xfId="1" applyNumberFormat="1" applyFont="1" applyFill="1" applyBorder="1" applyAlignment="1" applyProtection="1">
      <alignment horizontal="center" vertical="center" wrapText="1"/>
      <protection locked="0"/>
    </xf>
    <xf numFmtId="2" fontId="14" fillId="0" borderId="5" xfId="2" applyNumberFormat="1" applyFont="1" applyFill="1" applyBorder="1" applyAlignment="1" applyProtection="1">
      <alignment horizontal="center" vertical="center"/>
    </xf>
    <xf numFmtId="166" fontId="14" fillId="0" borderId="5" xfId="0" applyNumberFormat="1" applyFont="1" applyBorder="1" applyAlignment="1">
      <alignment horizontal="center" vertical="center"/>
    </xf>
    <xf numFmtId="166" fontId="20" fillId="0" borderId="5" xfId="0" applyNumberFormat="1" applyFont="1" applyBorder="1" applyAlignment="1">
      <alignment horizontal="center" vertical="center"/>
    </xf>
    <xf numFmtId="166" fontId="20" fillId="0" borderId="1" xfId="0" applyNumberFormat="1" applyFont="1" applyBorder="1" applyAlignment="1">
      <alignment horizontal="center" vertical="center"/>
    </xf>
    <xf numFmtId="2" fontId="14" fillId="0" borderId="1" xfId="2" applyNumberFormat="1" applyFont="1" applyFill="1" applyBorder="1" applyAlignment="1" applyProtection="1">
      <alignment horizontal="center" vertical="center"/>
    </xf>
    <xf numFmtId="166" fontId="14" fillId="0" borderId="1" xfId="0" applyNumberFormat="1" applyFont="1" applyBorder="1" applyAlignment="1">
      <alignment horizontal="center" vertical="center"/>
    </xf>
    <xf numFmtId="167" fontId="14" fillId="0" borderId="1" xfId="0" applyNumberFormat="1" applyFont="1" applyBorder="1" applyAlignment="1">
      <alignment horizontal="center" vertical="center"/>
    </xf>
    <xf numFmtId="2" fontId="21" fillId="0" borderId="1" xfId="2" applyNumberFormat="1" applyFont="1" applyFill="1" applyBorder="1" applyAlignment="1" applyProtection="1">
      <alignment horizontal="center" vertical="center"/>
    </xf>
    <xf numFmtId="166" fontId="14" fillId="0" borderId="1" xfId="2" applyNumberFormat="1" applyFont="1" applyFill="1" applyBorder="1" applyAlignment="1" applyProtection="1">
      <alignment horizontal="center" vertical="center"/>
    </xf>
    <xf numFmtId="164" fontId="34" fillId="0" borderId="0" xfId="1" applyNumberFormat="1" applyFont="1" applyFill="1" applyAlignment="1" applyProtection="1">
      <alignment horizontal="right" vertical="center"/>
    </xf>
    <xf numFmtId="9" fontId="34" fillId="0" borderId="0" xfId="2" applyNumberFormat="1" applyFont="1" applyFill="1" applyAlignment="1" applyProtection="1">
      <alignment horizontal="right" vertical="center" wrapText="1"/>
    </xf>
    <xf numFmtId="0" fontId="11" fillId="0" borderId="0" xfId="0" applyFont="1" applyAlignment="1">
      <alignment horizontal="center" vertical="center" wrapText="1"/>
    </xf>
    <xf numFmtId="0" fontId="17" fillId="9" borderId="6" xfId="0" applyFont="1" applyFill="1" applyBorder="1" applyAlignment="1">
      <alignment horizontal="left" vertical="center"/>
    </xf>
    <xf numFmtId="44" fontId="11" fillId="0" borderId="13" xfId="2" applyFont="1" applyFill="1" applyBorder="1" applyAlignment="1" applyProtection="1">
      <alignment horizontal="center" vertical="center" wrapText="1"/>
      <protection locked="0"/>
    </xf>
    <xf numFmtId="1" fontId="26" fillId="6" borderId="1" xfId="0" applyNumberFormat="1" applyFont="1" applyFill="1" applyBorder="1" applyAlignment="1">
      <alignment horizontal="center" vertical="center" shrinkToFit="1"/>
    </xf>
    <xf numFmtId="1" fontId="26" fillId="9" borderId="1" xfId="0" applyNumberFormat="1" applyFont="1" applyFill="1" applyBorder="1" applyAlignment="1">
      <alignment horizontal="center" vertical="center" shrinkToFit="1"/>
    </xf>
    <xf numFmtId="1" fontId="26" fillId="7" borderId="1" xfId="0" applyNumberFormat="1" applyFont="1" applyFill="1" applyBorder="1" applyAlignment="1">
      <alignment horizontal="center" vertical="center" shrinkToFit="1"/>
    </xf>
    <xf numFmtId="1" fontId="26" fillId="10" borderId="1" xfId="0" applyNumberFormat="1" applyFont="1" applyFill="1" applyBorder="1" applyAlignment="1">
      <alignment horizontal="center" vertical="center" shrinkToFit="1"/>
    </xf>
    <xf numFmtId="1" fontId="26" fillId="8" borderId="5" xfId="0" applyNumberFormat="1" applyFont="1" applyFill="1" applyBorder="1" applyAlignment="1">
      <alignment horizontal="center" vertical="center" shrinkToFit="1"/>
    </xf>
    <xf numFmtId="0" fontId="35" fillId="0" borderId="16" xfId="0" applyFont="1" applyBorder="1" applyAlignment="1">
      <alignment horizontal="center" vertical="center" wrapText="1"/>
    </xf>
    <xf numFmtId="0" fontId="35" fillId="0" borderId="19" xfId="0" applyFont="1" applyBorder="1" applyAlignment="1">
      <alignment horizontal="center" vertical="center" wrapText="1"/>
    </xf>
    <xf numFmtId="0" fontId="26"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36" fillId="12" borderId="1" xfId="0" applyFont="1" applyFill="1" applyBorder="1" applyAlignment="1">
      <alignment horizontal="center" vertical="center"/>
    </xf>
    <xf numFmtId="164" fontId="13" fillId="3" borderId="1" xfId="1" applyNumberFormat="1" applyFont="1" applyFill="1" applyBorder="1" applyAlignment="1" applyProtection="1">
      <alignment horizontal="center" vertical="center" wrapText="1"/>
    </xf>
    <xf numFmtId="0" fontId="36" fillId="12" borderId="1" xfId="0" applyFont="1" applyFill="1" applyBorder="1" applyAlignment="1">
      <alignment horizontal="center" vertical="center" wrapText="1"/>
    </xf>
    <xf numFmtId="0" fontId="35" fillId="0" borderId="15" xfId="0" applyFont="1" applyBorder="1" applyAlignment="1">
      <alignment horizontal="center" vertical="center" wrapText="1"/>
    </xf>
    <xf numFmtId="0" fontId="11" fillId="0" borderId="28" xfId="0" applyFont="1" applyBorder="1" applyAlignment="1">
      <alignment horizontal="center" vertical="center" wrapText="1"/>
    </xf>
    <xf numFmtId="0" fontId="27" fillId="12" borderId="1" xfId="0" applyFont="1" applyFill="1" applyBorder="1" applyAlignment="1">
      <alignment horizontal="center" vertical="center" wrapText="1"/>
    </xf>
    <xf numFmtId="0" fontId="29" fillId="0" borderId="0" xfId="0" applyFont="1" applyAlignment="1">
      <alignment vertical="center" wrapText="1"/>
    </xf>
    <xf numFmtId="0" fontId="22" fillId="0" borderId="0" xfId="0" applyFont="1"/>
    <xf numFmtId="0" fontId="30" fillId="0" borderId="0" xfId="0" applyFont="1" applyAlignment="1">
      <alignment horizontal="center" vertical="center" wrapText="1"/>
    </xf>
    <xf numFmtId="0" fontId="31" fillId="0" borderId="0" xfId="0" applyFont="1" applyAlignment="1">
      <alignment horizontal="center" vertical="center" wrapText="1"/>
    </xf>
    <xf numFmtId="164" fontId="10" fillId="0" borderId="0" xfId="1" applyNumberFormat="1" applyFont="1" applyAlignment="1" applyProtection="1"/>
    <xf numFmtId="0" fontId="17" fillId="9" borderId="6" xfId="0" applyFont="1" applyFill="1" applyBorder="1" applyAlignment="1">
      <alignment horizontal="left" vertical="center" wrapText="1"/>
    </xf>
    <xf numFmtId="0" fontId="34" fillId="0" borderId="0" xfId="0" applyFont="1" applyAlignment="1">
      <alignment horizontal="left"/>
    </xf>
    <xf numFmtId="0" fontId="14" fillId="13" borderId="5" xfId="0" applyFont="1" applyFill="1" applyBorder="1" applyAlignment="1">
      <alignment horizontal="left" vertical="center"/>
    </xf>
    <xf numFmtId="0" fontId="14" fillId="13" borderId="1" xfId="0" applyFont="1" applyFill="1" applyBorder="1" applyAlignment="1">
      <alignment horizontal="left" vertical="center"/>
    </xf>
    <xf numFmtId="165" fontId="14" fillId="13" borderId="5" xfId="2" applyNumberFormat="1" applyFont="1" applyFill="1" applyBorder="1" applyAlignment="1" applyProtection="1">
      <alignment vertical="center"/>
    </xf>
    <xf numFmtId="165" fontId="14" fillId="13" borderId="5" xfId="2" applyNumberFormat="1" applyFont="1" applyFill="1" applyBorder="1" applyAlignment="1" applyProtection="1">
      <alignment horizontal="right" vertical="center" wrapText="1"/>
    </xf>
    <xf numFmtId="2" fontId="14" fillId="13" borderId="5" xfId="2" applyNumberFormat="1" applyFont="1" applyFill="1" applyBorder="1" applyAlignment="1" applyProtection="1">
      <alignment horizontal="center" vertical="center"/>
    </xf>
    <xf numFmtId="166" fontId="14" fillId="13" borderId="5" xfId="0" applyNumberFormat="1" applyFont="1" applyFill="1" applyBorder="1" applyAlignment="1">
      <alignment horizontal="center" vertical="center"/>
    </xf>
    <xf numFmtId="166" fontId="20" fillId="13" borderId="1" xfId="0" applyNumberFormat="1" applyFont="1" applyFill="1" applyBorder="1" applyAlignment="1">
      <alignment horizontal="center" vertical="center"/>
    </xf>
    <xf numFmtId="0" fontId="36" fillId="12" borderId="4" xfId="0" applyFont="1" applyFill="1" applyBorder="1" applyAlignment="1">
      <alignment horizontal="center" vertical="center" wrapText="1"/>
    </xf>
    <xf numFmtId="0" fontId="36" fillId="12" borderId="9" xfId="0" applyFont="1" applyFill="1" applyBorder="1" applyAlignment="1">
      <alignment horizontal="center" vertical="center" wrapText="1"/>
    </xf>
    <xf numFmtId="2" fontId="14" fillId="13" borderId="10" xfId="2" applyNumberFormat="1" applyFont="1" applyFill="1" applyBorder="1" applyAlignment="1" applyProtection="1">
      <alignment horizontal="center" vertical="center"/>
    </xf>
    <xf numFmtId="44" fontId="11" fillId="0" borderId="3" xfId="2" applyFont="1" applyFill="1" applyBorder="1" applyAlignment="1" applyProtection="1">
      <alignment horizontal="center" vertical="center" wrapText="1"/>
    </xf>
    <xf numFmtId="44" fontId="10" fillId="0" borderId="3" xfId="2" applyFont="1" applyFill="1" applyBorder="1" applyAlignment="1" applyProtection="1">
      <alignment horizontal="center" vertical="center" wrapText="1"/>
    </xf>
    <xf numFmtId="2" fontId="14" fillId="13" borderId="1" xfId="2" applyNumberFormat="1" applyFont="1" applyFill="1" applyBorder="1" applyAlignment="1" applyProtection="1">
      <alignment horizontal="center" vertical="center"/>
    </xf>
    <xf numFmtId="167" fontId="14" fillId="13" borderId="1" xfId="0" applyNumberFormat="1" applyFont="1" applyFill="1" applyBorder="1" applyAlignment="1">
      <alignment horizontal="center" vertical="center"/>
    </xf>
    <xf numFmtId="166" fontId="14" fillId="13" borderId="1" xfId="0" applyNumberFormat="1" applyFont="1" applyFill="1" applyBorder="1" applyAlignment="1">
      <alignment horizontal="center" vertical="center"/>
    </xf>
    <xf numFmtId="2" fontId="14" fillId="13" borderId="1" xfId="0" applyNumberFormat="1" applyFont="1" applyFill="1" applyBorder="1" applyAlignment="1">
      <alignment horizontal="center" vertical="center"/>
    </xf>
    <xf numFmtId="0" fontId="14" fillId="13" borderId="8" xfId="0" applyFont="1" applyFill="1" applyBorder="1" applyAlignment="1">
      <alignment horizontal="left" vertical="center"/>
    </xf>
    <xf numFmtId="164" fontId="10" fillId="0" borderId="0" xfId="1" applyNumberFormat="1" applyFont="1" applyAlignment="1" applyProtection="1">
      <alignment vertical="top"/>
    </xf>
    <xf numFmtId="0" fontId="13" fillId="9" borderId="6" xfId="0" applyFont="1" applyFill="1" applyBorder="1" applyAlignment="1">
      <alignment horizontal="left" vertical="center"/>
    </xf>
    <xf numFmtId="0" fontId="14" fillId="0" borderId="3" xfId="0" applyFont="1" applyBorder="1"/>
    <xf numFmtId="0" fontId="10" fillId="13" borderId="4" xfId="0" applyFont="1" applyFill="1" applyBorder="1" applyAlignment="1">
      <alignment horizontal="left"/>
    </xf>
    <xf numFmtId="0" fontId="11" fillId="13" borderId="7" xfId="0" applyFont="1" applyFill="1" applyBorder="1" applyAlignment="1">
      <alignment vertical="center" wrapText="1"/>
    </xf>
    <xf numFmtId="0" fontId="31" fillId="13" borderId="7" xfId="0" applyFont="1" applyFill="1" applyBorder="1" applyAlignment="1">
      <alignment horizontal="center" vertical="center" wrapText="1"/>
    </xf>
    <xf numFmtId="0" fontId="30" fillId="13" borderId="9" xfId="0" applyFont="1" applyFill="1" applyBorder="1" applyAlignment="1">
      <alignment horizontal="center" vertical="center" wrapText="1"/>
    </xf>
    <xf numFmtId="0" fontId="4" fillId="12" borderId="5" xfId="0" applyFont="1" applyFill="1" applyBorder="1" applyAlignment="1">
      <alignment horizontal="center" vertical="center"/>
    </xf>
    <xf numFmtId="44" fontId="4" fillId="12" borderId="5" xfId="2" applyFont="1" applyFill="1" applyBorder="1" applyAlignment="1" applyProtection="1">
      <alignment horizontal="center" vertical="center" wrapText="1"/>
      <protection locked="0"/>
    </xf>
    <xf numFmtId="0" fontId="0" fillId="9" borderId="9" xfId="0" applyFill="1" applyBorder="1" applyAlignment="1">
      <alignment horizontal="center"/>
    </xf>
    <xf numFmtId="0" fontId="4" fillId="9" borderId="1" xfId="0" applyFont="1" applyFill="1" applyBorder="1"/>
    <xf numFmtId="0" fontId="4" fillId="9" borderId="1" xfId="0" applyFont="1" applyFill="1" applyBorder="1" applyAlignment="1">
      <alignment horizontal="left"/>
    </xf>
    <xf numFmtId="0" fontId="0" fillId="9" borderId="1" xfId="0" applyFill="1" applyBorder="1" applyAlignment="1">
      <alignment horizontal="left"/>
    </xf>
    <xf numFmtId="165" fontId="4" fillId="9" borderId="1" xfId="2" applyNumberFormat="1" applyFont="1" applyFill="1" applyBorder="1" applyAlignment="1">
      <alignment horizontal="right" vertical="center" wrapText="1"/>
    </xf>
    <xf numFmtId="44" fontId="4" fillId="9" borderId="1" xfId="2" applyFont="1" applyFill="1" applyBorder="1" applyAlignment="1">
      <alignment horizontal="center" vertical="center" wrapText="1"/>
    </xf>
    <xf numFmtId="164" fontId="4" fillId="9" borderId="1" xfId="1" applyNumberFormat="1" applyFont="1" applyFill="1" applyBorder="1"/>
    <xf numFmtId="0" fontId="4" fillId="9" borderId="9" xfId="0" applyFont="1" applyFill="1" applyBorder="1" applyAlignment="1">
      <alignment vertical="center"/>
    </xf>
    <xf numFmtId="0" fontId="4" fillId="9" borderId="1" xfId="0" applyFont="1" applyFill="1" applyBorder="1" applyAlignment="1">
      <alignment horizontal="left" vertical="center"/>
    </xf>
    <xf numFmtId="44" fontId="4" fillId="9" borderId="1" xfId="2" applyFont="1" applyFill="1" applyBorder="1" applyAlignment="1" applyProtection="1">
      <alignment horizontal="center" vertical="center" wrapText="1"/>
      <protection locked="0"/>
    </xf>
    <xf numFmtId="164" fontId="4" fillId="9" borderId="1" xfId="1" applyNumberFormat="1" applyFont="1" applyFill="1" applyBorder="1" applyAlignment="1" applyProtection="1">
      <alignment horizontal="center" vertical="center" wrapText="1"/>
      <protection locked="0"/>
    </xf>
    <xf numFmtId="0" fontId="4" fillId="12" borderId="10" xfId="0" applyFont="1" applyFill="1" applyBorder="1" applyAlignment="1">
      <alignment horizontal="center" vertical="center"/>
    </xf>
    <xf numFmtId="0" fontId="11" fillId="0" borderId="0" xfId="0" applyFont="1" applyAlignment="1">
      <alignment vertical="center"/>
    </xf>
    <xf numFmtId="0" fontId="42" fillId="0" borderId="0" xfId="0" applyFont="1"/>
    <xf numFmtId="0" fontId="14" fillId="0" borderId="4" xfId="0" applyFont="1" applyBorder="1" applyAlignment="1">
      <alignment horizontal="left" vertical="center" wrapText="1"/>
    </xf>
    <xf numFmtId="0" fontId="14" fillId="13" borderId="4" xfId="0" applyFont="1" applyFill="1" applyBorder="1" applyAlignment="1">
      <alignment horizontal="left" vertical="center" wrapText="1"/>
    </xf>
    <xf numFmtId="0" fontId="14" fillId="0" borderId="4" xfId="0" applyFont="1" applyBorder="1" applyAlignment="1">
      <alignment vertical="center" wrapText="1"/>
    </xf>
    <xf numFmtId="0" fontId="10" fillId="0" borderId="25" xfId="0" applyFont="1" applyBorder="1"/>
    <xf numFmtId="0" fontId="15" fillId="0" borderId="25" xfId="0" applyFont="1" applyBorder="1"/>
    <xf numFmtId="0" fontId="14" fillId="13" borderId="1" xfId="0" applyFont="1" applyFill="1" applyBorder="1" applyAlignment="1">
      <alignment horizontal="center"/>
    </xf>
    <xf numFmtId="0" fontId="14" fillId="13" borderId="4" xfId="0" applyFont="1" applyFill="1" applyBorder="1" applyAlignment="1">
      <alignment horizontal="center"/>
    </xf>
    <xf numFmtId="0" fontId="14" fillId="13" borderId="5" xfId="0" applyFont="1" applyFill="1" applyBorder="1" applyAlignment="1">
      <alignment horizontal="center"/>
    </xf>
    <xf numFmtId="0" fontId="14" fillId="13" borderId="23" xfId="0" applyFont="1" applyFill="1" applyBorder="1" applyAlignment="1">
      <alignment horizontal="center"/>
    </xf>
    <xf numFmtId="2" fontId="21" fillId="0" borderId="5" xfId="2" applyNumberFormat="1" applyFont="1" applyFill="1" applyBorder="1" applyAlignment="1" applyProtection="1">
      <alignment horizontal="center" vertical="center"/>
    </xf>
    <xf numFmtId="167" fontId="14" fillId="0" borderId="5" xfId="0" applyNumberFormat="1" applyFont="1" applyBorder="1" applyAlignment="1">
      <alignment horizontal="center" vertical="center"/>
    </xf>
    <xf numFmtId="167" fontId="21" fillId="0" borderId="5" xfId="0" applyNumberFormat="1" applyFont="1" applyBorder="1" applyAlignment="1">
      <alignment horizontal="center" vertical="center"/>
    </xf>
    <xf numFmtId="167" fontId="21" fillId="0" borderId="1" xfId="0" applyNumberFormat="1" applyFont="1" applyBorder="1" applyAlignment="1">
      <alignment horizontal="center" vertical="center"/>
    </xf>
    <xf numFmtId="2" fontId="14" fillId="0" borderId="10" xfId="2" applyNumberFormat="1" applyFont="1" applyFill="1" applyBorder="1" applyAlignment="1" applyProtection="1">
      <alignment horizontal="center" vertical="center"/>
    </xf>
    <xf numFmtId="2" fontId="14" fillId="13" borderId="9" xfId="2" applyNumberFormat="1" applyFont="1" applyFill="1" applyBorder="1" applyAlignment="1" applyProtection="1">
      <alignment horizontal="center" vertical="center"/>
    </xf>
    <xf numFmtId="2" fontId="14" fillId="0" borderId="9" xfId="2" applyNumberFormat="1" applyFont="1" applyFill="1" applyBorder="1" applyAlignment="1" applyProtection="1">
      <alignment horizontal="center" vertical="center"/>
    </xf>
    <xf numFmtId="166" fontId="14" fillId="0" borderId="9" xfId="2" applyNumberFormat="1" applyFont="1" applyFill="1" applyBorder="1" applyAlignment="1" applyProtection="1">
      <alignment horizontal="center" vertical="center"/>
    </xf>
    <xf numFmtId="164" fontId="13" fillId="0" borderId="12" xfId="1" applyNumberFormat="1" applyFont="1" applyFill="1" applyBorder="1" applyAlignment="1" applyProtection="1">
      <alignment horizontal="center" vertical="center"/>
    </xf>
    <xf numFmtId="164" fontId="39" fillId="0" borderId="25" xfId="1" applyNumberFormat="1" applyFont="1" applyFill="1" applyBorder="1" applyAlignment="1" applyProtection="1">
      <alignment horizontal="center" vertical="center"/>
    </xf>
    <xf numFmtId="164" fontId="39" fillId="0" borderId="23" xfId="1" applyNumberFormat="1" applyFont="1" applyFill="1" applyBorder="1" applyAlignment="1" applyProtection="1">
      <alignment horizontal="center" vertical="center"/>
    </xf>
    <xf numFmtId="164" fontId="13" fillId="0" borderId="23" xfId="1" applyNumberFormat="1" applyFont="1" applyFill="1" applyBorder="1" applyAlignment="1" applyProtection="1">
      <alignment horizontal="center" vertical="center"/>
    </xf>
    <xf numFmtId="0" fontId="13" fillId="0" borderId="0" xfId="6" applyFont="1" applyAlignment="1">
      <alignment horizontal="left" wrapText="1"/>
    </xf>
    <xf numFmtId="0" fontId="11" fillId="0" borderId="0" xfId="6" applyFont="1" applyAlignment="1">
      <alignment horizontal="left" wrapText="1"/>
    </xf>
    <xf numFmtId="0" fontId="11" fillId="13" borderId="31" xfId="6" applyFont="1" applyFill="1" applyBorder="1" applyAlignment="1">
      <alignment horizontal="center" wrapText="1"/>
    </xf>
    <xf numFmtId="0" fontId="44" fillId="0" borderId="0" xfId="6" applyFont="1" applyAlignment="1">
      <alignment horizontal="left" wrapText="1"/>
    </xf>
    <xf numFmtId="0" fontId="37" fillId="13" borderId="32" xfId="7" applyFont="1" applyFill="1" applyBorder="1" applyAlignment="1">
      <alignment horizontal="center" vertical="center" wrapText="1"/>
    </xf>
    <xf numFmtId="0" fontId="13" fillId="13" borderId="3" xfId="0" applyFont="1" applyFill="1" applyBorder="1" applyAlignment="1">
      <alignment horizontal="left" vertical="center"/>
    </xf>
    <xf numFmtId="0" fontId="13" fillId="0" borderId="4" xfId="0" applyFont="1" applyBorder="1" applyAlignment="1">
      <alignment horizontal="left" vertical="center"/>
    </xf>
    <xf numFmtId="0" fontId="13" fillId="13" borderId="4" xfId="0" applyFont="1" applyFill="1" applyBorder="1" applyAlignment="1">
      <alignment horizontal="left" vertical="center"/>
    </xf>
    <xf numFmtId="0" fontId="14" fillId="0" borderId="5" xfId="0" applyFont="1" applyBorder="1"/>
    <xf numFmtId="44" fontId="14" fillId="0" borderId="5" xfId="2" applyFont="1" applyFill="1" applyBorder="1" applyAlignment="1" applyProtection="1">
      <alignment horizontal="center" vertical="center" wrapText="1"/>
    </xf>
    <xf numFmtId="0" fontId="11" fillId="0" borderId="25" xfId="0" applyFont="1" applyBorder="1"/>
    <xf numFmtId="0" fontId="13" fillId="13" borderId="1" xfId="0" applyFont="1" applyFill="1" applyBorder="1" applyAlignment="1">
      <alignment horizontal="left" vertical="center"/>
    </xf>
    <xf numFmtId="0" fontId="14" fillId="13" borderId="1" xfId="0" applyFont="1" applyFill="1" applyBorder="1" applyAlignment="1">
      <alignment horizontal="left" vertical="center" wrapText="1"/>
    </xf>
    <xf numFmtId="0" fontId="10" fillId="0" borderId="23" xfId="0" applyFont="1" applyBorder="1"/>
    <xf numFmtId="0" fontId="10" fillId="0" borderId="24" xfId="0" applyFont="1" applyBorder="1"/>
    <xf numFmtId="0" fontId="14" fillId="13" borderId="25" xfId="0" applyFont="1" applyFill="1" applyBorder="1" applyAlignment="1">
      <alignment horizontal="left" vertical="center" wrapText="1"/>
    </xf>
    <xf numFmtId="164" fontId="11" fillId="0" borderId="0" xfId="1" applyNumberFormat="1" applyFont="1" applyProtection="1"/>
    <xf numFmtId="165" fontId="13" fillId="0" borderId="11" xfId="1" applyNumberFormat="1" applyFont="1" applyFill="1" applyBorder="1" applyAlignment="1" applyProtection="1">
      <alignment horizontal="right" vertical="center"/>
    </xf>
    <xf numFmtId="165" fontId="39" fillId="0" borderId="26" xfId="1" applyNumberFormat="1" applyFont="1" applyFill="1" applyBorder="1" applyAlignment="1" applyProtection="1">
      <alignment horizontal="right" vertical="center"/>
    </xf>
    <xf numFmtId="165" fontId="13" fillId="0" borderId="10" xfId="1" applyNumberFormat="1" applyFont="1" applyFill="1" applyBorder="1" applyAlignment="1" applyProtection="1">
      <alignment horizontal="right" vertical="center"/>
    </xf>
    <xf numFmtId="9" fontId="39" fillId="0" borderId="10" xfId="2" applyNumberFormat="1" applyFont="1" applyFill="1" applyBorder="1" applyAlignment="1" applyProtection="1">
      <alignment horizontal="right" vertical="center" wrapText="1"/>
    </xf>
    <xf numFmtId="164" fontId="46" fillId="3" borderId="1" xfId="1" applyNumberFormat="1" applyFont="1" applyFill="1" applyBorder="1" applyAlignment="1" applyProtection="1">
      <alignment horizontal="left" vertical="center" wrapText="1"/>
      <protection locked="0"/>
    </xf>
    <xf numFmtId="2" fontId="21" fillId="13" borderId="1" xfId="2" applyNumberFormat="1" applyFont="1" applyFill="1" applyBorder="1" applyAlignment="1" applyProtection="1">
      <alignment horizontal="center" vertical="center"/>
    </xf>
    <xf numFmtId="167" fontId="21" fillId="13" borderId="1" xfId="0" applyNumberFormat="1" applyFont="1" applyFill="1" applyBorder="1" applyAlignment="1">
      <alignment horizontal="center" vertical="center"/>
    </xf>
    <xf numFmtId="0" fontId="17" fillId="9" borderId="35" xfId="0" applyFont="1" applyFill="1" applyBorder="1" applyAlignment="1">
      <alignment horizontal="left" vertical="center"/>
    </xf>
    <xf numFmtId="165" fontId="14" fillId="13" borderId="1" xfId="2" applyNumberFormat="1" applyFont="1" applyFill="1" applyBorder="1" applyAlignment="1" applyProtection="1">
      <alignment vertical="center"/>
    </xf>
    <xf numFmtId="165" fontId="14" fillId="0" borderId="1" xfId="2" applyNumberFormat="1" applyFont="1" applyFill="1" applyBorder="1" applyAlignment="1" applyProtection="1">
      <alignment vertical="center"/>
    </xf>
    <xf numFmtId="0" fontId="47" fillId="0" borderId="0" xfId="0" applyFont="1" applyAlignment="1">
      <alignment horizontal="right" vertical="center"/>
    </xf>
    <xf numFmtId="164" fontId="47" fillId="0" borderId="0" xfId="0" applyNumberFormat="1" applyFont="1" applyAlignment="1">
      <alignment horizontal="right" vertical="center"/>
    </xf>
    <xf numFmtId="0" fontId="14" fillId="13" borderId="3" xfId="0" applyFont="1" applyFill="1" applyBorder="1" applyAlignment="1">
      <alignment horizontal="center"/>
    </xf>
    <xf numFmtId="0" fontId="14" fillId="13" borderId="25" xfId="0" applyFont="1" applyFill="1" applyBorder="1" applyAlignment="1">
      <alignment horizontal="center"/>
    </xf>
    <xf numFmtId="0" fontId="14" fillId="13" borderId="3" xfId="0" applyFont="1" applyFill="1" applyBorder="1" applyAlignment="1">
      <alignment horizontal="left" vertical="center"/>
    </xf>
    <xf numFmtId="165" fontId="14" fillId="3" borderId="3" xfId="1" applyNumberFormat="1" applyFont="1" applyFill="1" applyBorder="1" applyAlignment="1" applyProtection="1">
      <alignment horizontal="center" vertical="center" wrapText="1"/>
      <protection locked="0"/>
    </xf>
    <xf numFmtId="165" fontId="14" fillId="13" borderId="3" xfId="2" applyNumberFormat="1" applyFont="1" applyFill="1" applyBorder="1" applyAlignment="1" applyProtection="1">
      <alignment vertical="center"/>
    </xf>
    <xf numFmtId="165" fontId="14" fillId="13" borderId="3" xfId="2" applyNumberFormat="1" applyFont="1" applyFill="1" applyBorder="1" applyAlignment="1" applyProtection="1">
      <alignment horizontal="right" vertical="center" wrapText="1"/>
    </xf>
    <xf numFmtId="2" fontId="14" fillId="13" borderId="26" xfId="2" applyNumberFormat="1" applyFont="1" applyFill="1" applyBorder="1" applyAlignment="1" applyProtection="1">
      <alignment horizontal="center" vertical="center"/>
    </xf>
    <xf numFmtId="2" fontId="14" fillId="13" borderId="3" xfId="2" applyNumberFormat="1" applyFont="1" applyFill="1" applyBorder="1" applyAlignment="1" applyProtection="1">
      <alignment horizontal="center" vertical="center"/>
    </xf>
    <xf numFmtId="166" fontId="14" fillId="13" borderId="3" xfId="0" applyNumberFormat="1" applyFont="1" applyFill="1" applyBorder="1" applyAlignment="1">
      <alignment horizontal="center" vertical="center"/>
    </xf>
    <xf numFmtId="165" fontId="14" fillId="0" borderId="1" xfId="2" applyNumberFormat="1" applyFont="1" applyFill="1" applyBorder="1" applyAlignment="1" applyProtection="1">
      <alignment horizontal="right" vertical="center" wrapText="1"/>
    </xf>
    <xf numFmtId="0" fontId="14" fillId="0" borderId="1" xfId="0" applyFont="1" applyBorder="1"/>
    <xf numFmtId="0" fontId="10" fillId="0" borderId="4" xfId="0" applyFont="1" applyBorder="1"/>
    <xf numFmtId="0" fontId="10" fillId="0" borderId="7" xfId="0" applyFont="1" applyBorder="1"/>
    <xf numFmtId="2" fontId="21" fillId="13" borderId="5" xfId="2" applyNumberFormat="1" applyFont="1" applyFill="1" applyBorder="1" applyAlignment="1" applyProtection="1">
      <alignment horizontal="center" vertical="center"/>
    </xf>
    <xf numFmtId="167" fontId="21" fillId="13" borderId="5" xfId="0" applyNumberFormat="1" applyFont="1" applyFill="1" applyBorder="1" applyAlignment="1">
      <alignment horizontal="center" vertical="center"/>
    </xf>
    <xf numFmtId="0" fontId="48" fillId="0" borderId="0" xfId="7" applyNumberFormat="1" applyFont="1" applyAlignment="1" applyProtection="1">
      <alignment vertical="top"/>
    </xf>
    <xf numFmtId="0" fontId="3" fillId="0" borderId="0" xfId="6" applyAlignment="1">
      <alignment vertical="center"/>
    </xf>
    <xf numFmtId="0" fontId="11" fillId="14" borderId="36" xfId="6" applyFont="1" applyFill="1" applyBorder="1" applyAlignment="1">
      <alignment horizontal="center" vertical="center" wrapText="1"/>
    </xf>
    <xf numFmtId="164" fontId="46" fillId="11" borderId="1" xfId="0" applyNumberFormat="1" applyFont="1" applyFill="1" applyBorder="1" applyAlignment="1" applyProtection="1">
      <alignment horizontal="left" vertical="center"/>
      <protection locked="0"/>
    </xf>
    <xf numFmtId="0" fontId="17" fillId="5" borderId="37" xfId="0" applyFont="1" applyFill="1" applyBorder="1" applyAlignment="1">
      <alignment horizontal="center" vertical="center"/>
    </xf>
    <xf numFmtId="0" fontId="13" fillId="9" borderId="37" xfId="0" applyFont="1" applyFill="1" applyBorder="1" applyAlignment="1">
      <alignment horizontal="left" vertical="center"/>
    </xf>
    <xf numFmtId="0" fontId="17" fillId="9" borderId="37" xfId="0" applyFont="1" applyFill="1" applyBorder="1" applyAlignment="1">
      <alignment horizontal="left" vertical="center"/>
    </xf>
    <xf numFmtId="0" fontId="17" fillId="9" borderId="38" xfId="0" applyFont="1" applyFill="1" applyBorder="1" applyAlignment="1">
      <alignment horizontal="left" vertical="center"/>
    </xf>
    <xf numFmtId="0" fontId="17" fillId="9" borderId="37" xfId="0" applyFont="1" applyFill="1" applyBorder="1" applyAlignment="1">
      <alignment horizontal="left" vertical="center" wrapText="1"/>
    </xf>
    <xf numFmtId="0" fontId="15" fillId="0" borderId="23" xfId="0" applyFont="1" applyBorder="1"/>
    <xf numFmtId="0" fontId="15" fillId="0" borderId="24" xfId="0" applyFont="1" applyBorder="1"/>
    <xf numFmtId="167" fontId="14" fillId="13" borderId="5" xfId="0" applyNumberFormat="1" applyFont="1" applyFill="1" applyBorder="1" applyAlignment="1">
      <alignment horizontal="center" vertical="center"/>
    </xf>
    <xf numFmtId="0" fontId="13" fillId="13" borderId="8" xfId="0" applyFont="1" applyFill="1" applyBorder="1" applyAlignment="1">
      <alignment horizontal="left" vertical="center"/>
    </xf>
    <xf numFmtId="0" fontId="13" fillId="13" borderId="5" xfId="0" applyFont="1" applyFill="1" applyBorder="1" applyAlignment="1">
      <alignment horizontal="left" vertical="center"/>
    </xf>
    <xf numFmtId="0" fontId="13" fillId="0" borderId="8" xfId="0" applyFont="1" applyBorder="1" applyAlignment="1">
      <alignment horizontal="left" vertical="center"/>
    </xf>
    <xf numFmtId="0" fontId="13" fillId="0" borderId="5" xfId="0" applyFont="1" applyBorder="1" applyAlignment="1">
      <alignment horizontal="left" vertical="center"/>
    </xf>
    <xf numFmtId="0" fontId="14" fillId="13" borderId="8" xfId="0" applyFont="1" applyFill="1" applyBorder="1" applyAlignment="1">
      <alignment horizontal="left" vertical="center" wrapText="1"/>
    </xf>
    <xf numFmtId="0" fontId="14" fillId="13" borderId="5" xfId="0" applyFont="1" applyFill="1" applyBorder="1" applyAlignment="1">
      <alignment horizontal="left" vertical="center" wrapText="1"/>
    </xf>
    <xf numFmtId="0" fontId="14" fillId="0" borderId="8" xfId="0" applyFont="1" applyBorder="1" applyAlignment="1">
      <alignment horizontal="left" vertical="center" wrapText="1"/>
    </xf>
    <xf numFmtId="0" fontId="14" fillId="0" borderId="5" xfId="0" applyFont="1" applyBorder="1" applyAlignment="1">
      <alignment horizontal="left" vertical="center" wrapText="1"/>
    </xf>
    <xf numFmtId="0" fontId="13" fillId="0" borderId="0" xfId="0" applyFont="1" applyAlignment="1">
      <alignment horizontal="center" vertical="center" wrapText="1"/>
    </xf>
    <xf numFmtId="0" fontId="14" fillId="13" borderId="12" xfId="0" applyFont="1" applyFill="1" applyBorder="1" applyAlignment="1">
      <alignment horizontal="left" vertical="center" wrapText="1"/>
    </xf>
    <xf numFmtId="0" fontId="14" fillId="13" borderId="25" xfId="0" applyFont="1" applyFill="1" applyBorder="1" applyAlignment="1">
      <alignment horizontal="left" vertical="center" wrapText="1"/>
    </xf>
    <xf numFmtId="0" fontId="14" fillId="13" borderId="23" xfId="0" applyFont="1" applyFill="1" applyBorder="1" applyAlignment="1">
      <alignment horizontal="left" vertical="center" wrapText="1"/>
    </xf>
    <xf numFmtId="0" fontId="13" fillId="0" borderId="8" xfId="0" applyFont="1" applyBorder="1" applyAlignment="1">
      <alignment vertical="center"/>
    </xf>
    <xf numFmtId="0" fontId="13" fillId="0" borderId="3" xfId="0" applyFont="1" applyBorder="1" applyAlignment="1">
      <alignment vertical="center"/>
    </xf>
    <xf numFmtId="0" fontId="13" fillId="0" borderId="5" xfId="0" applyFont="1" applyBorder="1" applyAlignment="1">
      <alignmen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13" borderId="3" xfId="0" applyFont="1" applyFill="1" applyBorder="1" applyAlignment="1">
      <alignment horizontal="left" vertical="center"/>
    </xf>
    <xf numFmtId="0" fontId="14" fillId="0" borderId="1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5" xfId="0" applyFont="1" applyBorder="1" applyAlignment="1">
      <alignment horizontal="left" vertical="center" wrapText="1"/>
    </xf>
    <xf numFmtId="0" fontId="14" fillId="0" borderId="23" xfId="0" applyFont="1" applyBorder="1" applyAlignment="1">
      <alignment horizontal="left" vertical="center" wrapText="1"/>
    </xf>
    <xf numFmtId="0" fontId="11" fillId="3" borderId="7" xfId="0" applyFont="1" applyFill="1" applyBorder="1" applyAlignment="1" applyProtection="1">
      <alignment horizontal="left" vertical="center"/>
      <protection locked="0"/>
    </xf>
    <xf numFmtId="0" fontId="14" fillId="0" borderId="12" xfId="0" applyFont="1" applyBorder="1" applyAlignment="1">
      <alignment horizontal="left" vertical="center" wrapText="1"/>
    </xf>
    <xf numFmtId="44" fontId="11" fillId="3" borderId="7" xfId="2" applyFont="1" applyFill="1" applyBorder="1" applyAlignment="1" applyProtection="1">
      <alignment horizontal="left" vertical="center" wrapText="1"/>
      <protection locked="0"/>
    </xf>
    <xf numFmtId="0" fontId="14" fillId="0" borderId="30" xfId="0" applyFont="1" applyBorder="1" applyAlignment="1">
      <alignment horizontal="left" vertical="center" wrapText="1"/>
    </xf>
    <xf numFmtId="44" fontId="11" fillId="0" borderId="0" xfId="2" applyFont="1" applyBorder="1" applyAlignment="1" applyProtection="1">
      <alignment horizontal="left" wrapText="1"/>
      <protection locked="0"/>
    </xf>
    <xf numFmtId="2" fontId="14" fillId="13" borderId="27" xfId="2" applyNumberFormat="1" applyFont="1" applyFill="1" applyBorder="1" applyAlignment="1" applyProtection="1">
      <alignment horizontal="center" vertical="center" wrapText="1"/>
    </xf>
    <xf numFmtId="2" fontId="14" fillId="13" borderId="5" xfId="2" applyNumberFormat="1" applyFont="1" applyFill="1" applyBorder="1" applyAlignment="1" applyProtection="1">
      <alignment horizontal="center" vertical="center" wrapText="1"/>
    </xf>
    <xf numFmtId="2" fontId="14" fillId="13" borderId="3" xfId="2" applyNumberFormat="1" applyFont="1" applyFill="1" applyBorder="1" applyAlignment="1" applyProtection="1">
      <alignment horizontal="center" vertical="center" wrapText="1"/>
    </xf>
    <xf numFmtId="2" fontId="14" fillId="0" borderId="1" xfId="2" applyNumberFormat="1" applyFont="1" applyFill="1" applyBorder="1" applyAlignment="1" applyProtection="1">
      <alignment horizontal="center" vertical="center" wrapText="1"/>
    </xf>
    <xf numFmtId="2" fontId="14" fillId="0" borderId="3" xfId="2" applyNumberFormat="1" applyFont="1" applyFill="1" applyBorder="1" applyAlignment="1" applyProtection="1">
      <alignment horizontal="center" vertical="center" wrapText="1"/>
    </xf>
    <xf numFmtId="2" fontId="14" fillId="0" borderId="5" xfId="2" applyNumberFormat="1" applyFont="1" applyFill="1" applyBorder="1" applyAlignment="1" applyProtection="1">
      <alignment horizontal="center" vertical="center" wrapText="1"/>
    </xf>
    <xf numFmtId="0" fontId="10" fillId="0" borderId="0" xfId="0" applyFont="1" applyAlignment="1">
      <alignment horizontal="left" wrapText="1"/>
    </xf>
    <xf numFmtId="0" fontId="14" fillId="0" borderId="25" xfId="0" applyFont="1" applyBorder="1" applyAlignment="1">
      <alignment vertical="center" wrapText="1"/>
    </xf>
    <xf numFmtId="0" fontId="14" fillId="0" borderId="23" xfId="0" applyFont="1" applyBorder="1" applyAlignment="1">
      <alignment vertical="center" wrapText="1"/>
    </xf>
    <xf numFmtId="0" fontId="13" fillId="0" borderId="3" xfId="0" applyFont="1" applyBorder="1" applyAlignment="1">
      <alignment horizontal="left" vertical="center"/>
    </xf>
    <xf numFmtId="0" fontId="14" fillId="0" borderId="4" xfId="0" applyFont="1" applyBorder="1" applyAlignment="1">
      <alignment horizontal="left" vertical="center" wrapText="1"/>
    </xf>
    <xf numFmtId="0" fontId="13" fillId="13" borderId="27" xfId="0" applyFont="1" applyFill="1" applyBorder="1" applyAlignment="1">
      <alignment horizontal="left" vertical="center"/>
    </xf>
    <xf numFmtId="0" fontId="14" fillId="13" borderId="29" xfId="0" applyFont="1" applyFill="1" applyBorder="1" applyAlignment="1">
      <alignment horizontal="left" vertical="center" wrapText="1"/>
    </xf>
    <xf numFmtId="0" fontId="11" fillId="0" borderId="17" xfId="0" applyFont="1" applyBorder="1" applyAlignment="1">
      <alignment horizontal="center" vertical="center" wrapText="1"/>
    </xf>
    <xf numFmtId="0" fontId="11" fillId="0" borderId="22" xfId="0" applyFont="1" applyBorder="1" applyAlignment="1">
      <alignment horizontal="center" vertical="center" wrapText="1"/>
    </xf>
    <xf numFmtId="0" fontId="41" fillId="13" borderId="7" xfId="0" applyFont="1" applyFill="1" applyBorder="1" applyAlignment="1">
      <alignment horizontal="left" vertical="center" wrapText="1"/>
    </xf>
    <xf numFmtId="44" fontId="11" fillId="3" borderId="24" xfId="2" applyFont="1" applyFill="1" applyBorder="1" applyAlignment="1" applyProtection="1">
      <alignment horizontal="left" vertical="center" wrapText="1"/>
      <protection locked="0"/>
    </xf>
    <xf numFmtId="44" fontId="12" fillId="0" borderId="0" xfId="2" applyFont="1" applyAlignment="1" applyProtection="1">
      <alignment horizontal="right" wrapText="1"/>
    </xf>
    <xf numFmtId="0" fontId="40" fillId="0" borderId="0" xfId="0" applyFont="1" applyAlignment="1">
      <alignment horizontal="left"/>
    </xf>
    <xf numFmtId="0" fontId="40" fillId="0" borderId="0" xfId="0" applyFont="1" applyAlignment="1">
      <alignment horizontal="left" vertical="center"/>
    </xf>
    <xf numFmtId="44" fontId="12" fillId="0" borderId="0" xfId="2" applyFont="1" applyAlignment="1" applyProtection="1">
      <alignment horizontal="right" vertical="center" wrapText="1"/>
    </xf>
    <xf numFmtId="0" fontId="11" fillId="0" borderId="0" xfId="0" applyFont="1" applyAlignment="1">
      <alignment horizontal="left" wrapText="1"/>
    </xf>
    <xf numFmtId="0" fontId="11" fillId="0" borderId="0" xfId="0" applyFont="1" applyAlignment="1">
      <alignment horizontal="center" vertical="top"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1" xfId="0" applyFont="1" applyBorder="1" applyAlignment="1">
      <alignment horizontal="center" vertical="center" wrapText="1"/>
    </xf>
    <xf numFmtId="0" fontId="13" fillId="12" borderId="4"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12" borderId="9" xfId="0" applyFont="1" applyFill="1" applyBorder="1" applyAlignment="1">
      <alignment horizontal="center" vertical="center" wrapText="1"/>
    </xf>
    <xf numFmtId="0" fontId="13" fillId="13" borderId="1" xfId="0" applyFont="1" applyFill="1" applyBorder="1" applyAlignment="1">
      <alignment horizontal="left" vertical="center"/>
    </xf>
    <xf numFmtId="0" fontId="11" fillId="0" borderId="0" xfId="0" applyFont="1" applyAlignment="1">
      <alignment horizontal="left" vertical="center" wrapText="1"/>
    </xf>
    <xf numFmtId="0" fontId="11" fillId="0" borderId="24" xfId="0" applyFont="1" applyBorder="1" applyAlignment="1">
      <alignment horizontal="left" vertical="center" wrapText="1"/>
    </xf>
    <xf numFmtId="0" fontId="14" fillId="0" borderId="4" xfId="0" applyFont="1" applyBorder="1" applyAlignment="1">
      <alignment vertical="center" wrapText="1"/>
    </xf>
    <xf numFmtId="0" fontId="45" fillId="0" borderId="0" xfId="6" applyFont="1" applyAlignment="1">
      <alignment horizontal="center" wrapText="1"/>
    </xf>
    <xf numFmtId="0" fontId="32" fillId="0" borderId="0" xfId="6" applyFont="1" applyAlignment="1">
      <alignment horizontal="center" wrapText="1"/>
    </xf>
    <xf numFmtId="0" fontId="3" fillId="0" borderId="0" xfId="6" applyAlignment="1">
      <alignment horizontal="center"/>
    </xf>
  </cellXfs>
  <cellStyles count="8">
    <cellStyle name="Comma" xfId="1" builtinId="3"/>
    <cellStyle name="Currency" xfId="2" builtinId="4"/>
    <cellStyle name="Hyperlink" xfId="7" builtinId="8"/>
    <cellStyle name="Normal" xfId="0" builtinId="0"/>
    <cellStyle name="Normal 104" xfId="3" xr:uid="{01AC4DAB-C2D2-4349-A10D-BD069403DB8D}"/>
    <cellStyle name="Normal 2" xfId="4" xr:uid="{B820C37A-9F79-4FA5-BE5F-B371E4A16EB7}"/>
    <cellStyle name="Normal 2 2" xfId="6" xr:uid="{A87E7B46-1EEB-8747-A3DB-FA71D0FB1A0D}"/>
    <cellStyle name="Normal 3" xfId="5" xr:uid="{D8DA3FEA-ECE7-4454-858E-2EBA9D750972}"/>
  </cellStyles>
  <dxfs count="14">
    <dxf>
      <font>
        <b val="0"/>
        <i val="0"/>
        <strike val="0"/>
        <condense val="0"/>
        <extend val="0"/>
        <outline val="0"/>
        <shadow val="0"/>
        <u val="none"/>
        <vertAlign val="baseline"/>
        <sz val="10"/>
        <color auto="1"/>
        <name val="Verdana"/>
        <family val="2"/>
        <scheme val="none"/>
      </font>
      <numFmt numFmtId="165"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numFmt numFmtId="165"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1" defaultTableStyle="TableStyleMedium2" defaultPivotStyle="PivotStyleLight16">
    <tableStyle name="Invisible" pivot="0" table="0" count="0" xr9:uid="{10A3AB0C-C0DD-4E3E-AE21-E699FD13841E}"/>
  </tableStyles>
  <colors>
    <mruColors>
      <color rgb="FFF8FBEE"/>
      <color rgb="FFFFFFCC"/>
      <color rgb="FF409756"/>
      <color rgb="FF2A5F36"/>
      <color rgb="FF000000"/>
      <color rgb="FF9DCE68"/>
      <color rgb="FFFFD21A"/>
      <color rgb="FF3A5BA7"/>
      <color rgb="FF622E0A"/>
      <color rgb="FF7335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06/relationships/vbaProject" Target="vbaProject.bin"/><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1142967</xdr:colOff>
      <xdr:row>0</xdr:row>
      <xdr:rowOff>27584</xdr:rowOff>
    </xdr:from>
    <xdr:to>
      <xdr:col>1</xdr:col>
      <xdr:colOff>7115080</xdr:colOff>
      <xdr:row>1</xdr:row>
      <xdr:rowOff>43358</xdr:rowOff>
    </xdr:to>
    <xdr:pic>
      <xdr:nvPicPr>
        <xdr:cNvPr id="4" name="Picture 3">
          <a:extLst>
            <a:ext uri="{FF2B5EF4-FFF2-40B4-BE49-F238E27FC236}">
              <a16:creationId xmlns:a16="http://schemas.microsoft.com/office/drawing/2014/main" id="{45D65D6C-2930-5344-B292-87B43C977532}"/>
            </a:ext>
          </a:extLst>
        </xdr:cNvPr>
        <xdr:cNvPicPr>
          <a:picLocks noChangeAspect="1"/>
        </xdr:cNvPicPr>
      </xdr:nvPicPr>
      <xdr:blipFill>
        <a:blip xmlns:r="http://schemas.openxmlformats.org/officeDocument/2006/relationships" r:embed="rId1"/>
        <a:stretch>
          <a:fillRect/>
        </a:stretch>
      </xdr:blipFill>
      <xdr:spPr>
        <a:xfrm>
          <a:off x="1458445" y="27584"/>
          <a:ext cx="5972113" cy="2984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12700</xdr:colOff>
      <xdr:row>0</xdr:row>
      <xdr:rowOff>13607</xdr:rowOff>
    </xdr:from>
    <xdr:to>
      <xdr:col>6</xdr:col>
      <xdr:colOff>540658</xdr:colOff>
      <xdr:row>1</xdr:row>
      <xdr:rowOff>31974</xdr:rowOff>
    </xdr:to>
    <xdr:pic>
      <xdr:nvPicPr>
        <xdr:cNvPr id="8" name="Picture 7">
          <a:extLst>
            <a:ext uri="{FF2B5EF4-FFF2-40B4-BE49-F238E27FC236}">
              <a16:creationId xmlns:a16="http://schemas.microsoft.com/office/drawing/2014/main" id="{11F9F264-4A44-4224-82C6-92ED8E829F6C}"/>
            </a:ext>
          </a:extLst>
        </xdr:cNvPr>
        <xdr:cNvPicPr>
          <a:picLocks noChangeAspect="1"/>
        </xdr:cNvPicPr>
      </xdr:nvPicPr>
      <xdr:blipFill>
        <a:blip xmlns:r="http://schemas.openxmlformats.org/officeDocument/2006/relationships" r:embed="rId1"/>
        <a:stretch>
          <a:fillRect/>
        </a:stretch>
      </xdr:blipFill>
      <xdr:spPr>
        <a:xfrm>
          <a:off x="5632450" y="13607"/>
          <a:ext cx="5304065" cy="1637617"/>
        </a:xfrm>
        <a:prstGeom prst="rect">
          <a:avLst/>
        </a:prstGeom>
      </xdr:spPr>
    </xdr:pic>
    <xdr:clientData/>
  </xdr:twoCellAnchor>
  <xdr:twoCellAnchor editAs="oneCell">
    <xdr:from>
      <xdr:col>5</xdr:col>
      <xdr:colOff>3463636</xdr:colOff>
      <xdr:row>14</xdr:row>
      <xdr:rowOff>0</xdr:rowOff>
    </xdr:from>
    <xdr:to>
      <xdr:col>6</xdr:col>
      <xdr:colOff>1365086</xdr:colOff>
      <xdr:row>14</xdr:row>
      <xdr:rowOff>0</xdr:rowOff>
    </xdr:to>
    <xdr:grpSp>
      <xdr:nvGrpSpPr>
        <xdr:cNvPr id="115" name="Group 114">
          <a:extLst>
            <a:ext uri="{FF2B5EF4-FFF2-40B4-BE49-F238E27FC236}">
              <a16:creationId xmlns:a16="http://schemas.microsoft.com/office/drawing/2014/main" id="{C322E2EE-4C6D-9587-41BF-A458EDE5C557}"/>
            </a:ext>
          </a:extLst>
        </xdr:cNvPr>
        <xdr:cNvGrpSpPr>
          <a:grpSpLocks noChangeAspect="1"/>
        </xdr:cNvGrpSpPr>
      </xdr:nvGrpSpPr>
      <xdr:grpSpPr>
        <a:xfrm>
          <a:off x="4768561" y="7007679"/>
          <a:ext cx="1372632" cy="0"/>
          <a:chOff x="0" y="0"/>
          <a:chExt cx="276082" cy="56515"/>
        </a:xfrm>
      </xdr:grpSpPr>
      <xdr:sp macro="" textlink="">
        <xdr:nvSpPr>
          <xdr:cNvPr id="122" name="Graphic 349">
            <a:extLst>
              <a:ext uri="{FF2B5EF4-FFF2-40B4-BE49-F238E27FC236}">
                <a16:creationId xmlns:a16="http://schemas.microsoft.com/office/drawing/2014/main" id="{60BD39F3-5A84-8D49-1FDF-E751529B8085}"/>
              </a:ext>
            </a:extLst>
          </xdr:cNvPr>
          <xdr:cNvSpPr/>
        </xdr:nvSpPr>
        <xdr:spPr>
          <a:xfrm>
            <a:off x="0"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EF7E2E"/>
          </a:solidFill>
        </xdr:spPr>
        <xdr:txBody>
          <a:bodyPr wrap="square" lIns="0" tIns="0" rIns="0" bIns="0" rtlCol="0">
            <a:prstTxWarp prst="textNoShape">
              <a:avLst/>
            </a:prstTxWarp>
            <a:noAutofit/>
          </a:bodyPr>
          <a:lstStyle/>
          <a:p>
            <a:endParaRPr lang="en-US"/>
          </a:p>
        </xdr:txBody>
      </xdr:sp>
      <xdr:sp macro="" textlink="">
        <xdr:nvSpPr>
          <xdr:cNvPr id="141" name="Graphic 350">
            <a:extLst>
              <a:ext uri="{FF2B5EF4-FFF2-40B4-BE49-F238E27FC236}">
                <a16:creationId xmlns:a16="http://schemas.microsoft.com/office/drawing/2014/main" id="{065F9046-F75C-5ED4-A631-EAA5C6772303}"/>
              </a:ext>
            </a:extLst>
          </xdr:cNvPr>
          <xdr:cNvSpPr/>
        </xdr:nvSpPr>
        <xdr:spPr>
          <a:xfrm>
            <a:off x="73188"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3B5BA7"/>
          </a:solidFill>
        </xdr:spPr>
        <xdr:txBody>
          <a:bodyPr wrap="square" lIns="0" tIns="0" rIns="0" bIns="0" rtlCol="0">
            <a:prstTxWarp prst="textNoShape">
              <a:avLst/>
            </a:prstTxWarp>
            <a:noAutofit/>
          </a:bodyPr>
          <a:lstStyle/>
          <a:p>
            <a:endParaRPr lang="en-US"/>
          </a:p>
        </xdr:txBody>
      </xdr:sp>
      <xdr:sp macro="" textlink="">
        <xdr:nvSpPr>
          <xdr:cNvPr id="150" name="Graphic 351">
            <a:extLst>
              <a:ext uri="{FF2B5EF4-FFF2-40B4-BE49-F238E27FC236}">
                <a16:creationId xmlns:a16="http://schemas.microsoft.com/office/drawing/2014/main" id="{DF7BADAB-8325-1828-0D73-83B250A282E4}"/>
              </a:ext>
            </a:extLst>
          </xdr:cNvPr>
          <xdr:cNvSpPr/>
        </xdr:nvSpPr>
        <xdr:spPr>
          <a:xfrm>
            <a:off x="146377"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BBD64F"/>
          </a:solidFill>
        </xdr:spPr>
        <xdr:txBody>
          <a:bodyPr wrap="square" lIns="0" tIns="0" rIns="0" bIns="0" rtlCol="0">
            <a:prstTxWarp prst="textNoShape">
              <a:avLst/>
            </a:prstTxWarp>
            <a:noAutofit/>
          </a:bodyPr>
          <a:lstStyle/>
          <a:p>
            <a:endParaRPr lang="en-US"/>
          </a:p>
        </xdr:txBody>
      </xdr:sp>
      <xdr:sp macro="" textlink="">
        <xdr:nvSpPr>
          <xdr:cNvPr id="163" name="Graphic 352">
            <a:extLst>
              <a:ext uri="{FF2B5EF4-FFF2-40B4-BE49-F238E27FC236}">
                <a16:creationId xmlns:a16="http://schemas.microsoft.com/office/drawing/2014/main" id="{44ECF628-A884-DFCC-C087-5DA3E30B5E0D}"/>
              </a:ext>
            </a:extLst>
          </xdr:cNvPr>
          <xdr:cNvSpPr/>
        </xdr:nvSpPr>
        <xdr:spPr>
          <a:xfrm>
            <a:off x="219567"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BEA78A"/>
          </a:solidFill>
        </xdr:spPr>
        <xdr:txBody>
          <a:bodyPr wrap="square" lIns="0" tIns="0" rIns="0" bIns="0" rtlCol="0">
            <a:prstTxWarp prst="textNoShape">
              <a:avLst/>
            </a:prstTxWarp>
            <a:noAutofit/>
          </a:bodyPr>
          <a:lstStyle/>
          <a:p>
            <a:endParaRPr lang="en-US"/>
          </a:p>
        </xdr:txBody>
      </xdr:sp>
    </xdr:grpSp>
    <xdr:clientData/>
  </xdr:twoCellAnchor>
  <xdr:twoCellAnchor editAs="oneCell">
    <xdr:from>
      <xdr:col>5</xdr:col>
      <xdr:colOff>3463635</xdr:colOff>
      <xdr:row>14</xdr:row>
      <xdr:rowOff>0</xdr:rowOff>
    </xdr:from>
    <xdr:to>
      <xdr:col>6</xdr:col>
      <xdr:colOff>1365085</xdr:colOff>
      <xdr:row>14</xdr:row>
      <xdr:rowOff>0</xdr:rowOff>
    </xdr:to>
    <xdr:grpSp>
      <xdr:nvGrpSpPr>
        <xdr:cNvPr id="164" name="Group 163">
          <a:extLst>
            <a:ext uri="{FF2B5EF4-FFF2-40B4-BE49-F238E27FC236}">
              <a16:creationId xmlns:a16="http://schemas.microsoft.com/office/drawing/2014/main" id="{3B0340BF-A7D9-4999-B6FF-3E048AFCD5C0}"/>
            </a:ext>
          </a:extLst>
        </xdr:cNvPr>
        <xdr:cNvGrpSpPr>
          <a:grpSpLocks noChangeAspect="1"/>
        </xdr:cNvGrpSpPr>
      </xdr:nvGrpSpPr>
      <xdr:grpSpPr>
        <a:xfrm>
          <a:off x="4768560" y="7007679"/>
          <a:ext cx="1372632" cy="0"/>
          <a:chOff x="0" y="0"/>
          <a:chExt cx="276082" cy="56515"/>
        </a:xfrm>
      </xdr:grpSpPr>
      <xdr:sp macro="" textlink="">
        <xdr:nvSpPr>
          <xdr:cNvPr id="165" name="Graphic 349">
            <a:extLst>
              <a:ext uri="{FF2B5EF4-FFF2-40B4-BE49-F238E27FC236}">
                <a16:creationId xmlns:a16="http://schemas.microsoft.com/office/drawing/2014/main" id="{3881F681-F8FB-E495-8BCD-1AE0D25D1F9D}"/>
              </a:ext>
            </a:extLst>
          </xdr:cNvPr>
          <xdr:cNvSpPr/>
        </xdr:nvSpPr>
        <xdr:spPr>
          <a:xfrm>
            <a:off x="0"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EF7E2E"/>
          </a:solidFill>
        </xdr:spPr>
        <xdr:txBody>
          <a:bodyPr wrap="square" lIns="0" tIns="0" rIns="0" bIns="0" rtlCol="0">
            <a:prstTxWarp prst="textNoShape">
              <a:avLst/>
            </a:prstTxWarp>
            <a:noAutofit/>
          </a:bodyPr>
          <a:lstStyle/>
          <a:p>
            <a:endParaRPr lang="en-US"/>
          </a:p>
        </xdr:txBody>
      </xdr:sp>
      <xdr:sp macro="" textlink="">
        <xdr:nvSpPr>
          <xdr:cNvPr id="166" name="Graphic 350">
            <a:extLst>
              <a:ext uri="{FF2B5EF4-FFF2-40B4-BE49-F238E27FC236}">
                <a16:creationId xmlns:a16="http://schemas.microsoft.com/office/drawing/2014/main" id="{5AAAA5C4-5B62-C46E-EB79-80FCB3E452BB}"/>
              </a:ext>
            </a:extLst>
          </xdr:cNvPr>
          <xdr:cNvSpPr/>
        </xdr:nvSpPr>
        <xdr:spPr>
          <a:xfrm>
            <a:off x="73188"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3B5BA7"/>
          </a:solidFill>
        </xdr:spPr>
        <xdr:txBody>
          <a:bodyPr wrap="square" lIns="0" tIns="0" rIns="0" bIns="0" rtlCol="0">
            <a:prstTxWarp prst="textNoShape">
              <a:avLst/>
            </a:prstTxWarp>
            <a:noAutofit/>
          </a:bodyPr>
          <a:lstStyle/>
          <a:p>
            <a:endParaRPr lang="en-US"/>
          </a:p>
        </xdr:txBody>
      </xdr:sp>
      <xdr:sp macro="" textlink="">
        <xdr:nvSpPr>
          <xdr:cNvPr id="167" name="Graphic 351">
            <a:extLst>
              <a:ext uri="{FF2B5EF4-FFF2-40B4-BE49-F238E27FC236}">
                <a16:creationId xmlns:a16="http://schemas.microsoft.com/office/drawing/2014/main" id="{F3722149-5580-EDC8-28E8-45B3CFF67814}"/>
              </a:ext>
            </a:extLst>
          </xdr:cNvPr>
          <xdr:cNvSpPr/>
        </xdr:nvSpPr>
        <xdr:spPr>
          <a:xfrm>
            <a:off x="146377"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BBD64F"/>
          </a:solidFill>
        </xdr:spPr>
        <xdr:txBody>
          <a:bodyPr wrap="square" lIns="0" tIns="0" rIns="0" bIns="0" rtlCol="0">
            <a:prstTxWarp prst="textNoShape">
              <a:avLst/>
            </a:prstTxWarp>
            <a:noAutofit/>
          </a:bodyPr>
          <a:lstStyle/>
          <a:p>
            <a:endParaRPr lang="en-US"/>
          </a:p>
        </xdr:txBody>
      </xdr:sp>
      <xdr:sp macro="" textlink="">
        <xdr:nvSpPr>
          <xdr:cNvPr id="168" name="Graphic 352">
            <a:extLst>
              <a:ext uri="{FF2B5EF4-FFF2-40B4-BE49-F238E27FC236}">
                <a16:creationId xmlns:a16="http://schemas.microsoft.com/office/drawing/2014/main" id="{02D1A3F1-4FB7-296D-6316-09C7057BE261}"/>
              </a:ext>
            </a:extLst>
          </xdr:cNvPr>
          <xdr:cNvSpPr/>
        </xdr:nvSpPr>
        <xdr:spPr>
          <a:xfrm>
            <a:off x="219567" y="0"/>
            <a:ext cx="56515" cy="5651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BEA78A"/>
          </a:solidFill>
        </xdr:spPr>
        <xdr:txBody>
          <a:bodyPr wrap="square" lIns="0" tIns="0" rIns="0" bIns="0" rtlCol="0">
            <a:prstTxWarp prst="textNoShape">
              <a:avLst/>
            </a:prstTxWarp>
            <a:noAutofit/>
          </a:bodyPr>
          <a:lstStyle/>
          <a:p>
            <a:endParaRPr lang="en-US"/>
          </a:p>
        </xdr:txBody>
      </xdr:sp>
    </xdr:grpSp>
    <xdr:clientData/>
  </xdr:twoCellAnchor>
  <xdr:twoCellAnchor editAs="oneCell">
    <xdr:from>
      <xdr:col>5</xdr:col>
      <xdr:colOff>4048335</xdr:colOff>
      <xdr:row>17</xdr:row>
      <xdr:rowOff>0</xdr:rowOff>
    </xdr:from>
    <xdr:to>
      <xdr:col>6</xdr:col>
      <xdr:colOff>155558</xdr:colOff>
      <xdr:row>17</xdr:row>
      <xdr:rowOff>0</xdr:rowOff>
    </xdr:to>
    <xdr:sp macro="" textlink="">
      <xdr:nvSpPr>
        <xdr:cNvPr id="169" name="Graphic 347">
          <a:extLst>
            <a:ext uri="{FF2B5EF4-FFF2-40B4-BE49-F238E27FC236}">
              <a16:creationId xmlns:a16="http://schemas.microsoft.com/office/drawing/2014/main" id="{A82D8A0D-A8A9-2791-14F9-5FE65292054A}"/>
            </a:ext>
          </a:extLst>
        </xdr:cNvPr>
        <xdr:cNvSpPr>
          <a:spLocks noChangeAspect="1"/>
        </xdr:cNvSpPr>
      </xdr:nvSpPr>
      <xdr:spPr>
        <a:xfrm>
          <a:off x="17301692" y="10069004"/>
          <a:ext cx="161245" cy="141562"/>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572700"/>
        </a:solidFill>
      </xdr:spPr>
      <xdr:txBody>
        <a:bodyPr wrap="square" lIns="0" tIns="0" rIns="0" bIns="0" rtlCol="0">
          <a:prstTxWarp prst="textNoShape">
            <a:avLst/>
          </a:prstTxWarp>
          <a:noAutofit/>
        </a:bodyPr>
        <a:lstStyle/>
        <a:p>
          <a:endParaRPr lang="en-US"/>
        </a:p>
      </xdr:txBody>
    </xdr:sp>
    <xdr:clientData/>
  </xdr:twoCellAnchor>
  <xdr:twoCellAnchor editAs="oneCell">
    <xdr:from>
      <xdr:col>5</xdr:col>
      <xdr:colOff>4069773</xdr:colOff>
      <xdr:row>17</xdr:row>
      <xdr:rowOff>0</xdr:rowOff>
    </xdr:from>
    <xdr:to>
      <xdr:col>6</xdr:col>
      <xdr:colOff>164296</xdr:colOff>
      <xdr:row>17</xdr:row>
      <xdr:rowOff>0</xdr:rowOff>
    </xdr:to>
    <xdr:sp macro="" textlink="">
      <xdr:nvSpPr>
        <xdr:cNvPr id="172" name="Graphic 347">
          <a:extLst>
            <a:ext uri="{FF2B5EF4-FFF2-40B4-BE49-F238E27FC236}">
              <a16:creationId xmlns:a16="http://schemas.microsoft.com/office/drawing/2014/main" id="{0420201A-3C4E-4029-9A58-E0DA0B29E612}"/>
            </a:ext>
          </a:extLst>
        </xdr:cNvPr>
        <xdr:cNvSpPr>
          <a:spLocks noChangeAspect="1"/>
        </xdr:cNvSpPr>
      </xdr:nvSpPr>
      <xdr:spPr>
        <a:xfrm>
          <a:off x="17335500" y="16798635"/>
          <a:ext cx="161245" cy="141562"/>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chemeClr val="accent1">
            <a:lumMod val="75000"/>
          </a:schemeClr>
        </a:solidFill>
      </xdr:spPr>
      <xdr:txBody>
        <a:bodyPr wrap="square" lIns="0" tIns="0" rIns="0" bIns="0" rtlCol="0">
          <a:prstTxWarp prst="textNoShape">
            <a:avLst/>
          </a:prstTxWarp>
          <a:noAutofit/>
        </a:bodyPr>
        <a:lstStyle/>
        <a:p>
          <a:endParaRPr lang="en-US"/>
        </a:p>
      </xdr:txBody>
    </xdr:sp>
    <xdr:clientData/>
  </xdr:twoCellAnchor>
  <xdr:twoCellAnchor editAs="oneCell">
    <xdr:from>
      <xdr:col>5</xdr:col>
      <xdr:colOff>4070589</xdr:colOff>
      <xdr:row>17</xdr:row>
      <xdr:rowOff>0</xdr:rowOff>
    </xdr:from>
    <xdr:to>
      <xdr:col>6</xdr:col>
      <xdr:colOff>152412</xdr:colOff>
      <xdr:row>17</xdr:row>
      <xdr:rowOff>0</xdr:rowOff>
    </xdr:to>
    <xdr:sp macro="" textlink="">
      <xdr:nvSpPr>
        <xdr:cNvPr id="180" name="Graphic 341">
          <a:extLst>
            <a:ext uri="{FF2B5EF4-FFF2-40B4-BE49-F238E27FC236}">
              <a16:creationId xmlns:a16="http://schemas.microsoft.com/office/drawing/2014/main" id="{37D8340E-3B9B-E500-6332-CD73A3747DF4}"/>
            </a:ext>
          </a:extLst>
        </xdr:cNvPr>
        <xdr:cNvSpPr>
          <a:spLocks noChangeAspect="1"/>
        </xdr:cNvSpPr>
      </xdr:nvSpPr>
      <xdr:spPr>
        <a:xfrm>
          <a:off x="17323946" y="17949885"/>
          <a:ext cx="161245" cy="16124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BBD64F"/>
        </a:solidFill>
      </xdr:spPr>
      <xdr:txBody>
        <a:bodyPr wrap="square" lIns="0" tIns="0" rIns="0" bIns="0" rtlCol="0">
          <a:prstTxWarp prst="textNoShape">
            <a:avLst/>
          </a:prstTxWarp>
          <a:noAutofit/>
        </a:bodyPr>
        <a:lstStyle/>
        <a:p>
          <a:endParaRPr lang="en-US"/>
        </a:p>
      </xdr:txBody>
    </xdr:sp>
    <xdr:clientData/>
  </xdr:twoCellAnchor>
  <xdr:twoCellAnchor editAs="oneCell">
    <xdr:from>
      <xdr:col>5</xdr:col>
      <xdr:colOff>4070593</xdr:colOff>
      <xdr:row>17</xdr:row>
      <xdr:rowOff>0</xdr:rowOff>
    </xdr:from>
    <xdr:to>
      <xdr:col>6</xdr:col>
      <xdr:colOff>152416</xdr:colOff>
      <xdr:row>17</xdr:row>
      <xdr:rowOff>0</xdr:rowOff>
    </xdr:to>
    <xdr:sp macro="" textlink="">
      <xdr:nvSpPr>
        <xdr:cNvPr id="181" name="Graphic 342">
          <a:extLst>
            <a:ext uri="{FF2B5EF4-FFF2-40B4-BE49-F238E27FC236}">
              <a16:creationId xmlns:a16="http://schemas.microsoft.com/office/drawing/2014/main" id="{4925D02E-3E85-A192-3695-B70B70715917}"/>
            </a:ext>
          </a:extLst>
        </xdr:cNvPr>
        <xdr:cNvSpPr>
          <a:spLocks noChangeAspect="1"/>
        </xdr:cNvSpPr>
      </xdr:nvSpPr>
      <xdr:spPr>
        <a:xfrm>
          <a:off x="17323950" y="18249242"/>
          <a:ext cx="161245" cy="161245"/>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572700"/>
        </a:solidFill>
      </xdr:spPr>
      <xdr:txBody>
        <a:bodyPr wrap="square" lIns="0" tIns="0" rIns="0" bIns="0" rtlCol="0">
          <a:prstTxWarp prst="textNoShape">
            <a:avLst/>
          </a:prstTxWarp>
          <a:noAutofit/>
        </a:bodyPr>
        <a:lstStyle/>
        <a:p>
          <a:endParaRPr lang="en-US"/>
        </a:p>
      </xdr:txBody>
    </xdr:sp>
    <xdr:clientData/>
  </xdr:twoCellAnchor>
  <xdr:twoCellAnchor editAs="oneCell">
    <xdr:from>
      <xdr:col>5</xdr:col>
      <xdr:colOff>4069770</xdr:colOff>
      <xdr:row>17</xdr:row>
      <xdr:rowOff>0</xdr:rowOff>
    </xdr:from>
    <xdr:to>
      <xdr:col>6</xdr:col>
      <xdr:colOff>164293</xdr:colOff>
      <xdr:row>17</xdr:row>
      <xdr:rowOff>0</xdr:rowOff>
    </xdr:to>
    <xdr:sp macro="" textlink="">
      <xdr:nvSpPr>
        <xdr:cNvPr id="227" name="Graphic 342">
          <a:extLst>
            <a:ext uri="{FF2B5EF4-FFF2-40B4-BE49-F238E27FC236}">
              <a16:creationId xmlns:a16="http://schemas.microsoft.com/office/drawing/2014/main" id="{DBB73F76-6545-413B-BD66-914FAF7823FC}"/>
            </a:ext>
          </a:extLst>
        </xdr:cNvPr>
        <xdr:cNvSpPr>
          <a:spLocks noChangeAspect="1"/>
        </xdr:cNvSpPr>
      </xdr:nvSpPr>
      <xdr:spPr>
        <a:xfrm>
          <a:off x="17335497" y="26366065"/>
          <a:ext cx="161245" cy="170770"/>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rgbClr val="AFB8A2"/>
        </a:solidFill>
      </xdr:spPr>
      <xdr:txBody>
        <a:bodyPr wrap="square" lIns="0" tIns="0" rIns="0" bIns="0" rtlCol="0">
          <a:prstTxWarp prst="textNoShape">
            <a:avLst/>
          </a:prstTxWarp>
          <a:noAutofit/>
        </a:bodyPr>
        <a:lstStyle/>
        <a:p>
          <a:endParaRPr lang="en-US"/>
        </a:p>
      </xdr:txBody>
    </xdr:sp>
    <xdr:clientData/>
  </xdr:twoCellAnchor>
  <xdr:twoCellAnchor editAs="oneCell">
    <xdr:from>
      <xdr:col>5</xdr:col>
      <xdr:colOff>4069773</xdr:colOff>
      <xdr:row>17</xdr:row>
      <xdr:rowOff>0</xdr:rowOff>
    </xdr:from>
    <xdr:to>
      <xdr:col>6</xdr:col>
      <xdr:colOff>164296</xdr:colOff>
      <xdr:row>17</xdr:row>
      <xdr:rowOff>0</xdr:rowOff>
    </xdr:to>
    <xdr:sp macro="" textlink="">
      <xdr:nvSpPr>
        <xdr:cNvPr id="98" name="Graphic 347">
          <a:extLst>
            <a:ext uri="{FF2B5EF4-FFF2-40B4-BE49-F238E27FC236}">
              <a16:creationId xmlns:a16="http://schemas.microsoft.com/office/drawing/2014/main" id="{310CFFB7-27BA-436A-93D8-4CF899498DA7}"/>
            </a:ext>
          </a:extLst>
        </xdr:cNvPr>
        <xdr:cNvSpPr>
          <a:spLocks noChangeAspect="1"/>
        </xdr:cNvSpPr>
      </xdr:nvSpPr>
      <xdr:spPr>
        <a:xfrm>
          <a:off x="20851091" y="14277975"/>
          <a:ext cx="161245" cy="151087"/>
        </a:xfrm>
        <a:custGeom>
          <a:avLst/>
          <a:gdLst/>
          <a:ahLst/>
          <a:cxnLst/>
          <a:rect l="l" t="t" r="r" b="b"/>
          <a:pathLst>
            <a:path w="56515" h="56515">
              <a:moveTo>
                <a:pt x="27952" y="0"/>
              </a:moveTo>
              <a:lnTo>
                <a:pt x="17069" y="2195"/>
              </a:lnTo>
              <a:lnTo>
                <a:pt x="8185" y="8185"/>
              </a:lnTo>
              <a:lnTo>
                <a:pt x="2195" y="17069"/>
              </a:lnTo>
              <a:lnTo>
                <a:pt x="0" y="27952"/>
              </a:lnTo>
              <a:lnTo>
                <a:pt x="2195" y="38835"/>
              </a:lnTo>
              <a:lnTo>
                <a:pt x="8185" y="47720"/>
              </a:lnTo>
              <a:lnTo>
                <a:pt x="17069" y="53709"/>
              </a:lnTo>
              <a:lnTo>
                <a:pt x="27952" y="55905"/>
              </a:lnTo>
              <a:lnTo>
                <a:pt x="38835" y="53709"/>
              </a:lnTo>
              <a:lnTo>
                <a:pt x="47720" y="47720"/>
              </a:lnTo>
              <a:lnTo>
                <a:pt x="53709" y="38835"/>
              </a:lnTo>
              <a:lnTo>
                <a:pt x="55905" y="27952"/>
              </a:lnTo>
              <a:lnTo>
                <a:pt x="53709" y="17069"/>
              </a:lnTo>
              <a:lnTo>
                <a:pt x="47720" y="8185"/>
              </a:lnTo>
              <a:lnTo>
                <a:pt x="38835" y="2195"/>
              </a:lnTo>
              <a:lnTo>
                <a:pt x="27952" y="0"/>
              </a:lnTo>
              <a:close/>
            </a:path>
          </a:pathLst>
        </a:custGeom>
        <a:solidFill>
          <a:schemeClr val="accent2"/>
        </a:solidFill>
      </xdr:spPr>
      <xdr:txBody>
        <a:bodyPr wrap="square" lIns="0" tIns="0" rIns="0" bIns="0" rtlCol="0">
          <a:prstTxWarp prst="textNoShape">
            <a:avLst/>
          </a:prstTxWarp>
          <a:noAutofit/>
        </a:bodyPr>
        <a:lstStyle/>
        <a:p>
          <a:endParaRPr lang="en-US"/>
        </a:p>
      </xdr:txBody>
    </xdr:sp>
    <xdr:clientData/>
  </xdr:twoCellAnchor>
  <xdr:twoCellAnchor>
    <xdr:from>
      <xdr:col>10</xdr:col>
      <xdr:colOff>241300</xdr:colOff>
      <xdr:row>2</xdr:row>
      <xdr:rowOff>0</xdr:rowOff>
    </xdr:from>
    <xdr:to>
      <xdr:col>11</xdr:col>
      <xdr:colOff>0</xdr:colOff>
      <xdr:row>4</xdr:row>
      <xdr:rowOff>0</xdr:rowOff>
    </xdr:to>
    <xdr:sp macro="[0]!ToggleCalculatorRows" textlink="">
      <xdr:nvSpPr>
        <xdr:cNvPr id="3" name="Rounded Rectangle 2">
          <a:extLst>
            <a:ext uri="{FF2B5EF4-FFF2-40B4-BE49-F238E27FC236}">
              <a16:creationId xmlns:a16="http://schemas.microsoft.com/office/drawing/2014/main" id="{3DE86685-5CBF-1A4A-9DED-7BD30623D2BC}"/>
            </a:ext>
          </a:extLst>
        </xdr:cNvPr>
        <xdr:cNvSpPr/>
      </xdr:nvSpPr>
      <xdr:spPr>
        <a:xfrm>
          <a:off x="13335000" y="2286000"/>
          <a:ext cx="1981200" cy="914400"/>
        </a:xfrm>
        <a:prstGeom prst="round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ysClr val="windowText" lastClr="000000"/>
              </a:solidFill>
              <a:latin typeface="Arial" panose="020B0604020202020204" pitchFamily="34" charset="0"/>
              <a:cs typeface="Arial" panose="020B0604020202020204" pitchFamily="34" charset="0"/>
            </a:rPr>
            <a:t>Hide/Show Blank Rows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EE4B9F-C28F-46A2-B4CD-F1B73F326A00}" name="RebateRef" displayName="RebateRef" ref="A3:J132" totalsRowShown="0" headerRowDxfId="13" dataDxfId="11" headerRowBorderDxfId="12" tableBorderDxfId="10" headerRowCellStyle="Currency">
  <autoFilter ref="A3:J132" xr:uid="{35EE4B9F-C28F-46A2-B4CD-F1B73F326A00}"/>
  <tableColumns count="10">
    <tableColumn id="1" xr3:uid="{9EAC19B6-47B7-4F57-94E6-982D30CF93A8}" name="Item Number" dataDxfId="9"/>
    <tableColumn id="2" xr3:uid="{0C0F5B9B-0061-4D64-8CED-39012530AA72}" name="Product Description" dataDxfId="8"/>
    <tableColumn id="3" xr3:uid="{194987D6-9352-4D5A-A7D7-A9D69EA9B454}" name="Product" dataDxfId="7"/>
    <tableColumn id="4" xr3:uid="{9807C728-2482-47C1-91D7-56727D7CE631}" name="Unit Size" dataDxfId="6"/>
    <tableColumn id="5" xr3:uid="{1449C864-B786-41CE-AE8A-2A0A1395DBBF}" name="Concat EOP 1" dataDxfId="5">
      <calculatedColumnFormula>CONCATENATE(C4,D4,$A$1)</calculatedColumnFormula>
    </tableColumn>
    <tableColumn id="6" xr3:uid="{B71B821E-E1AF-44A4-8D4F-D2541D49ED44}" name="Concat EOP 2" dataDxfId="4">
      <calculatedColumnFormula>CONCATENATE(C4,D4,$A$2)</calculatedColumnFormula>
    </tableColumn>
    <tableColumn id="7" xr3:uid="{ADCC06DE-EB8E-43F5-9C2B-5C08013D78B2}" name="EOP 1 Rebate/Unit" dataDxfId="3" dataCellStyle="Currency"/>
    <tableColumn id="8" xr3:uid="{EC74BBF5-2729-49B8-843C-17CF43AA4E2B}" name="EOP 1 Volume Rebate/Unit" dataDxfId="2" dataCellStyle="Comma"/>
    <tableColumn id="9" xr3:uid="{750DA664-6197-4A15-80BE-D1E4DAFC3E76}" name="Pairing Rebate/Unit" dataDxfId="1" dataCellStyle="Comma"/>
    <tableColumn id="11" xr3:uid="{48353B6F-ED4B-4255-A538-F85220BA44E3}" name="EOP 2 Rebate/Unit" dataDxfId="0" dataCellStyle="Currency"/>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upport.microsoft.com/en-us/office/vba/enable-or-disable-macros-in-microsoft-365-files" TargetMode="Externa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nufarm.com/ustur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16514-CED4-D64F-9F3C-5DFBB3D0B0E3}">
  <sheetPr codeName="Sheet3"/>
  <dimension ref="A1:B17"/>
  <sheetViews>
    <sheetView showGridLines="0" zoomScale="85" zoomScaleNormal="85" workbookViewId="0">
      <selection activeCell="B12" sqref="B12"/>
    </sheetView>
  </sheetViews>
  <sheetFormatPr defaultColWidth="10.875" defaultRowHeight="23.25" x14ac:dyDescent="0.35"/>
  <cols>
    <col min="1" max="1" width="4" style="71" customWidth="1"/>
    <col min="2" max="2" width="113.875" style="72" customWidth="1"/>
    <col min="3" max="16384" width="10.875" style="71"/>
  </cols>
  <sheetData>
    <row r="1" spans="1:2" ht="234" customHeight="1" x14ac:dyDescent="0.2">
      <c r="A1" s="303"/>
      <c r="B1" s="303"/>
    </row>
    <row r="2" spans="1:2" ht="26.25" x14ac:dyDescent="0.4">
      <c r="A2" s="301" t="s">
        <v>117</v>
      </c>
      <c r="B2" s="301"/>
    </row>
    <row r="3" spans="1:2" ht="12" customHeight="1" thickBot="1" x14ac:dyDescent="0.4">
      <c r="A3" s="302"/>
      <c r="B3" s="302"/>
    </row>
    <row r="4" spans="1:2" s="224" customFormat="1" ht="54.75" customHeight="1" thickBot="1" x14ac:dyDescent="0.25">
      <c r="B4" s="225" t="s">
        <v>339</v>
      </c>
    </row>
    <row r="5" spans="1:2" ht="12" customHeight="1" x14ac:dyDescent="0.25">
      <c r="B5" s="179"/>
    </row>
    <row r="6" spans="1:2" ht="15.75" x14ac:dyDescent="0.25">
      <c r="B6" s="182" t="s">
        <v>309</v>
      </c>
    </row>
    <row r="7" spans="1:2" ht="5.0999999999999996" customHeight="1" x14ac:dyDescent="0.2">
      <c r="B7" s="180"/>
    </row>
    <row r="8" spans="1:2" ht="18" customHeight="1" x14ac:dyDescent="0.2">
      <c r="B8" s="180" t="s">
        <v>245</v>
      </c>
    </row>
    <row r="9" spans="1:2" ht="9.9499999999999993" customHeight="1" x14ac:dyDescent="0.2">
      <c r="B9" s="180"/>
    </row>
    <row r="10" spans="1:2" ht="33" customHeight="1" x14ac:dyDescent="0.2">
      <c r="B10" s="180" t="s">
        <v>331</v>
      </c>
    </row>
    <row r="11" spans="1:2" ht="9.9499999999999993" customHeight="1" x14ac:dyDescent="0.2">
      <c r="B11" s="180"/>
    </row>
    <row r="12" spans="1:2" ht="18" customHeight="1" x14ac:dyDescent="0.2">
      <c r="B12" s="180" t="s">
        <v>246</v>
      </c>
    </row>
    <row r="13" spans="1:2" ht="9.9499999999999993" customHeight="1" x14ac:dyDescent="0.2">
      <c r="B13" s="180"/>
    </row>
    <row r="14" spans="1:2" ht="18" customHeight="1" x14ac:dyDescent="0.2">
      <c r="B14" s="180" t="s">
        <v>310</v>
      </c>
    </row>
    <row r="15" spans="1:2" ht="24" thickBot="1" x14ac:dyDescent="0.4"/>
    <row r="16" spans="1:2" ht="23.1" customHeight="1" x14ac:dyDescent="0.2">
      <c r="B16" s="181" t="s">
        <v>338</v>
      </c>
    </row>
    <row r="17" spans="2:2" ht="24.95" customHeight="1" thickBot="1" x14ac:dyDescent="0.25">
      <c r="B17" s="183" t="s">
        <v>302</v>
      </c>
    </row>
  </sheetData>
  <mergeCells count="3">
    <mergeCell ref="A2:B2"/>
    <mergeCell ref="A3:B3"/>
    <mergeCell ref="A1:B1"/>
  </mergeCells>
  <hyperlinks>
    <hyperlink ref="B17" r:id="rId1" xr:uid="{C26D6F01-428F-4AA3-8403-E0227D45731E}"/>
  </hyperlinks>
  <pageMargins left="0.7" right="0.7" top="0.75" bottom="0.75" header="0.3" footer="0.3"/>
  <pageSetup paperSize="9"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AD96-4001-4F6C-A274-3F02F0128FDD}">
  <sheetPr codeName="Sheet1"/>
  <dimension ref="A1:V163"/>
  <sheetViews>
    <sheetView showGridLines="0" tabSelected="1" topLeftCell="E1" zoomScale="70" zoomScaleNormal="70" workbookViewId="0">
      <selection activeCell="F4" sqref="F4"/>
    </sheetView>
  </sheetViews>
  <sheetFormatPr defaultColWidth="17.125" defaultRowHeight="12.75" x14ac:dyDescent="0.2"/>
  <cols>
    <col min="1" max="1" width="13.625" style="24" hidden="1" customWidth="1"/>
    <col min="2" max="2" width="13.75" style="24" hidden="1" customWidth="1"/>
    <col min="3" max="3" width="20" style="24" hidden="1" customWidth="1"/>
    <col min="4" max="4" width="18.25" style="24" hidden="1" customWidth="1"/>
    <col min="5" max="5" width="28.75" style="28" customWidth="1"/>
    <col min="6" max="6" width="33.875" style="28" customWidth="1"/>
    <col min="7" max="7" width="18.625" style="28" customWidth="1"/>
    <col min="8" max="8" width="17" style="25" customWidth="1"/>
    <col min="9" max="9" width="16" style="25" customWidth="1"/>
    <col min="10" max="10" width="24.5" style="26" customWidth="1"/>
    <col min="11" max="11" width="20.5" style="26" customWidth="1"/>
    <col min="12" max="12" width="6.375" style="26" customWidth="1"/>
    <col min="13" max="15" width="17.125" style="27"/>
    <col min="16" max="16" width="17.125" style="24"/>
    <col min="17" max="17" width="26.125" style="24" customWidth="1"/>
    <col min="18" max="18" width="47.75" style="24" customWidth="1"/>
    <col min="19" max="16384" width="17.125" style="24"/>
  </cols>
  <sheetData>
    <row r="1" spans="1:22" ht="128.1" customHeight="1" x14ac:dyDescent="0.25">
      <c r="E1" s="138"/>
      <c r="F1" s="139"/>
      <c r="G1" s="140"/>
      <c r="H1" s="277" t="s">
        <v>257</v>
      </c>
      <c r="I1" s="277"/>
      <c r="J1" s="277"/>
      <c r="K1" s="141"/>
      <c r="L1" s="111"/>
      <c r="M1" s="243" t="s">
        <v>340</v>
      </c>
      <c r="N1" s="243"/>
      <c r="O1" s="117"/>
      <c r="P1" s="117"/>
      <c r="Q1" s="117"/>
      <c r="R1" s="117"/>
      <c r="T1" s="112"/>
    </row>
    <row r="2" spans="1:22" ht="43.5" customHeight="1" x14ac:dyDescent="0.25">
      <c r="F2" s="73"/>
      <c r="G2" s="114"/>
      <c r="H2" s="283" t="s">
        <v>336</v>
      </c>
      <c r="I2" s="283"/>
      <c r="J2" s="283"/>
      <c r="K2" s="113"/>
      <c r="L2" s="111"/>
      <c r="M2" s="117" t="s">
        <v>334</v>
      </c>
      <c r="N2" s="117"/>
      <c r="O2" s="117"/>
      <c r="P2" s="117"/>
      <c r="Q2" s="117"/>
      <c r="R2" s="117"/>
      <c r="T2" s="112"/>
    </row>
    <row r="3" spans="1:22" ht="63.95" customHeight="1" x14ac:dyDescent="0.2">
      <c r="E3" s="284" t="s">
        <v>329</v>
      </c>
      <c r="F3" s="284"/>
      <c r="H3" s="283"/>
      <c r="I3" s="283"/>
      <c r="J3" s="283"/>
      <c r="M3" s="223" t="s">
        <v>335</v>
      </c>
      <c r="S3" s="27"/>
    </row>
    <row r="4" spans="1:22" ht="35.1" customHeight="1" x14ac:dyDescent="0.2">
      <c r="A4" s="29"/>
      <c r="E4" s="206" t="s">
        <v>308</v>
      </c>
      <c r="F4" s="200" t="s">
        <v>320</v>
      </c>
      <c r="G4" s="156"/>
      <c r="H4" s="283"/>
      <c r="I4" s="283"/>
      <c r="J4" s="283"/>
      <c r="M4" s="298" t="s">
        <v>337</v>
      </c>
      <c r="N4" s="298"/>
      <c r="O4" s="298"/>
      <c r="P4" s="298"/>
      <c r="Q4" s="298"/>
      <c r="R4" s="298"/>
      <c r="S4" s="30"/>
      <c r="V4" s="31"/>
    </row>
    <row r="5" spans="1:22" ht="34.5" customHeight="1" x14ac:dyDescent="0.2">
      <c r="E5" s="207" t="s">
        <v>297</v>
      </c>
      <c r="F5" s="226" t="s">
        <v>301</v>
      </c>
      <c r="G5" s="156"/>
      <c r="H5" s="283"/>
      <c r="I5" s="283"/>
      <c r="J5" s="283"/>
      <c r="M5" s="299"/>
      <c r="N5" s="299"/>
      <c r="O5" s="299"/>
      <c r="P5" s="299"/>
      <c r="Q5" s="299"/>
      <c r="R5" s="299"/>
      <c r="S5" s="32"/>
    </row>
    <row r="6" spans="1:22" ht="15.75" customHeight="1" x14ac:dyDescent="0.35">
      <c r="E6" s="280"/>
      <c r="F6" s="280"/>
      <c r="G6" s="280"/>
      <c r="H6" s="280"/>
      <c r="I6" s="115"/>
      <c r="J6" s="279"/>
      <c r="K6" s="279"/>
      <c r="M6" s="103" t="s">
        <v>217</v>
      </c>
      <c r="N6" s="294" t="s">
        <v>185</v>
      </c>
      <c r="O6" s="295"/>
      <c r="P6" s="296"/>
      <c r="Q6" s="110"/>
      <c r="R6" s="104" t="s">
        <v>186</v>
      </c>
      <c r="S6" s="93"/>
      <c r="T6" s="93"/>
      <c r="U6" s="93"/>
    </row>
    <row r="7" spans="1:22" ht="30" customHeight="1" x14ac:dyDescent="0.2">
      <c r="E7" s="281" t="s">
        <v>117</v>
      </c>
      <c r="F7" s="281"/>
      <c r="G7" s="281"/>
      <c r="H7" s="281"/>
      <c r="I7" s="135"/>
      <c r="J7" s="282" t="s">
        <v>247</v>
      </c>
      <c r="K7" s="282"/>
      <c r="M7" s="100">
        <v>1</v>
      </c>
      <c r="N7" s="285" t="s">
        <v>290</v>
      </c>
      <c r="O7" s="286"/>
      <c r="P7" s="287"/>
      <c r="Q7" s="108" t="s">
        <v>248</v>
      </c>
      <c r="R7" s="109" t="s">
        <v>292</v>
      </c>
      <c r="S7" s="93"/>
      <c r="T7" s="93"/>
      <c r="U7" s="93"/>
    </row>
    <row r="8" spans="1:22" ht="30.75" customHeight="1" x14ac:dyDescent="0.2">
      <c r="E8" s="67" t="s">
        <v>332</v>
      </c>
      <c r="F8" s="278"/>
      <c r="G8" s="278"/>
      <c r="H8" s="278"/>
      <c r="I8" s="195"/>
      <c r="J8" s="175" t="s">
        <v>251</v>
      </c>
      <c r="K8" s="196">
        <f>SUM($I$16:$I$143)</f>
        <v>0</v>
      </c>
      <c r="M8" s="96">
        <v>2</v>
      </c>
      <c r="N8" s="288"/>
      <c r="O8" s="289"/>
      <c r="P8" s="290"/>
      <c r="Q8" s="101" t="s">
        <v>248</v>
      </c>
      <c r="R8" s="38" t="s">
        <v>293</v>
      </c>
      <c r="S8" s="93"/>
      <c r="T8" s="93"/>
      <c r="U8" s="93"/>
    </row>
    <row r="9" spans="1:22" ht="30.75" x14ac:dyDescent="0.2">
      <c r="E9" s="67" t="s">
        <v>124</v>
      </c>
      <c r="F9" s="257"/>
      <c r="G9" s="257"/>
      <c r="H9" s="257"/>
      <c r="I9" s="195"/>
      <c r="J9" s="176" t="s">
        <v>260</v>
      </c>
      <c r="K9" s="197">
        <f>SUM($K$16:$K$143)</f>
        <v>0</v>
      </c>
      <c r="M9" s="97">
        <v>3</v>
      </c>
      <c r="N9" s="288"/>
      <c r="O9" s="289"/>
      <c r="P9" s="290"/>
      <c r="Q9" s="101" t="s">
        <v>248</v>
      </c>
      <c r="R9" s="38" t="s">
        <v>294</v>
      </c>
      <c r="S9" s="93"/>
      <c r="T9" s="93"/>
      <c r="U9" s="93"/>
    </row>
    <row r="10" spans="1:22" ht="30.75" x14ac:dyDescent="0.2">
      <c r="E10" s="67" t="s">
        <v>125</v>
      </c>
      <c r="F10" s="259"/>
      <c r="G10" s="259"/>
      <c r="H10" s="259"/>
      <c r="I10" s="195"/>
      <c r="J10" s="178" t="s">
        <v>261</v>
      </c>
      <c r="K10" s="198" t="str">
        <f>IF(K8&gt;K9,K8-K9,"")</f>
        <v/>
      </c>
      <c r="M10" s="98">
        <v>4</v>
      </c>
      <c r="N10" s="291"/>
      <c r="O10" s="292"/>
      <c r="P10" s="293"/>
      <c r="Q10" s="102" t="s">
        <v>248</v>
      </c>
      <c r="R10" s="38" t="s">
        <v>295</v>
      </c>
      <c r="S10" s="93"/>
      <c r="T10" s="93"/>
      <c r="U10" s="93"/>
    </row>
    <row r="11" spans="1:22" ht="30.75" x14ac:dyDescent="0.2">
      <c r="E11" s="67" t="s">
        <v>244</v>
      </c>
      <c r="F11" s="259"/>
      <c r="G11" s="259"/>
      <c r="H11" s="259"/>
      <c r="I11" s="195"/>
      <c r="J11" s="177" t="s">
        <v>262</v>
      </c>
      <c r="K11" s="199" t="str">
        <f>IF(K8&gt;K9,K9/K8,"")</f>
        <v/>
      </c>
      <c r="M11" s="99">
        <v>5</v>
      </c>
      <c r="N11" s="275" t="s">
        <v>291</v>
      </c>
      <c r="O11" s="275"/>
      <c r="P11" s="276"/>
      <c r="Q11" s="102" t="s">
        <v>248</v>
      </c>
      <c r="R11" s="52" t="s">
        <v>296</v>
      </c>
      <c r="S11" s="93"/>
      <c r="T11" s="93"/>
      <c r="U11" s="93"/>
    </row>
    <row r="12" spans="1:22" ht="15.75" customHeight="1" x14ac:dyDescent="0.2">
      <c r="E12" s="67"/>
      <c r="F12" s="95"/>
      <c r="G12" s="95"/>
      <c r="H12" s="95"/>
      <c r="J12" s="91"/>
      <c r="K12" s="92"/>
    </row>
    <row r="13" spans="1:22" ht="9.9499999999999993" customHeight="1" x14ac:dyDescent="0.3">
      <c r="E13" s="67"/>
      <c r="F13" s="261"/>
      <c r="G13" s="261"/>
      <c r="H13" s="261"/>
      <c r="P13" s="34"/>
    </row>
    <row r="14" spans="1:22" s="33" customFormat="1" ht="51" customHeight="1" x14ac:dyDescent="0.2">
      <c r="A14" s="22" t="s">
        <v>232</v>
      </c>
      <c r="B14" s="22" t="s">
        <v>231</v>
      </c>
      <c r="C14" s="23" t="s">
        <v>90</v>
      </c>
      <c r="D14" s="23" t="s">
        <v>226</v>
      </c>
      <c r="E14" s="105" t="s">
        <v>249</v>
      </c>
      <c r="F14" s="105" t="s">
        <v>250</v>
      </c>
      <c r="G14" s="106" t="s">
        <v>311</v>
      </c>
      <c r="H14" s="106" t="s">
        <v>330</v>
      </c>
      <c r="I14" s="105" t="s">
        <v>251</v>
      </c>
      <c r="J14" s="105" t="s">
        <v>259</v>
      </c>
      <c r="K14" s="107" t="s">
        <v>252</v>
      </c>
      <c r="L14" s="128"/>
      <c r="M14" s="126" t="s">
        <v>253</v>
      </c>
      <c r="N14" s="107" t="s">
        <v>254</v>
      </c>
      <c r="O14" s="105" t="s">
        <v>255</v>
      </c>
      <c r="P14" s="106" t="s">
        <v>258</v>
      </c>
      <c r="Q14" s="107" t="s">
        <v>307</v>
      </c>
      <c r="R14" s="125" t="s">
        <v>256</v>
      </c>
      <c r="S14" s="189"/>
    </row>
    <row r="15" spans="1:22" ht="24" customHeight="1" thickBot="1" x14ac:dyDescent="0.25">
      <c r="A15" s="56" t="s">
        <v>49</v>
      </c>
      <c r="B15" s="56" t="s">
        <v>49</v>
      </c>
      <c r="C15" s="56"/>
      <c r="D15" s="56" t="s">
        <v>49</v>
      </c>
      <c r="E15" s="136" t="s">
        <v>49</v>
      </c>
      <c r="F15" s="94"/>
      <c r="G15" s="94"/>
      <c r="H15" s="94"/>
      <c r="I15" s="94"/>
      <c r="J15" s="94"/>
      <c r="K15" s="203"/>
      <c r="L15" s="129"/>
      <c r="M15" s="94"/>
      <c r="N15" s="94"/>
      <c r="O15" s="94"/>
      <c r="P15" s="94"/>
      <c r="Q15" s="94"/>
      <c r="R15" s="116"/>
      <c r="S15" s="161"/>
    </row>
    <row r="16" spans="1:22" ht="24" customHeight="1" x14ac:dyDescent="0.2">
      <c r="A16" s="163" t="s">
        <v>227</v>
      </c>
      <c r="B16" s="164"/>
      <c r="C16" s="164" t="s">
        <v>139</v>
      </c>
      <c r="D16" s="164" t="s">
        <v>228</v>
      </c>
      <c r="E16" s="273" t="s">
        <v>139</v>
      </c>
      <c r="F16" s="118" t="s">
        <v>140</v>
      </c>
      <c r="G16" s="74"/>
      <c r="H16" s="75"/>
      <c r="I16" s="120">
        <f>G16*H16</f>
        <v>0</v>
      </c>
      <c r="J16" s="121">
        <f>IF($F$4="EOP 1", VLOOKUP(C16&amp;F16&amp;$F$4,'Rebate Reference Table'!$E$5:$J$132,3,FALSE), VLOOKUP(C16&amp;F16&amp;$F$4,'Rebate Reference Table'!$F$5:$J$132,5,FALSE))</f>
        <v>8</v>
      </c>
      <c r="K16" s="120">
        <f t="shared" ref="K16:K25" si="0">H16*J16</f>
        <v>0</v>
      </c>
      <c r="L16" s="188"/>
      <c r="M16" s="127">
        <v>2</v>
      </c>
      <c r="N16" s="262" t="s">
        <v>298</v>
      </c>
      <c r="O16" s="122" t="s">
        <v>119</v>
      </c>
      <c r="P16" s="80"/>
      <c r="Q16" s="123" t="str">
        <f>IFERROR(H16*24/P16,"")</f>
        <v/>
      </c>
      <c r="R16" s="274" t="s">
        <v>174</v>
      </c>
      <c r="S16" s="192"/>
      <c r="T16" s="193"/>
      <c r="U16" s="193"/>
      <c r="V16" s="193"/>
    </row>
    <row r="17" spans="1:22" s="35" customFormat="1" ht="24" customHeight="1" x14ac:dyDescent="0.2">
      <c r="A17" s="165" t="s">
        <v>227</v>
      </c>
      <c r="B17" s="166"/>
      <c r="C17" s="166" t="s">
        <v>139</v>
      </c>
      <c r="D17" s="166" t="s">
        <v>229</v>
      </c>
      <c r="E17" s="236"/>
      <c r="F17" s="118" t="s">
        <v>263</v>
      </c>
      <c r="G17" s="74"/>
      <c r="H17" s="75"/>
      <c r="I17" s="120">
        <f t="shared" ref="I17:I81" si="1">G17*H17</f>
        <v>0</v>
      </c>
      <c r="J17" s="121">
        <f>IF($F$4="EOP 1", VLOOKUP(C17&amp;F17&amp;$F$4,'Rebate Reference Table'!$E$5:$J$132,4,FALSE), VLOOKUP(C17&amp;F17&amp;$F$4,'Rebate Reference Table'!$F$5:$J$132,5,FALSE))</f>
        <v>18</v>
      </c>
      <c r="K17" s="120">
        <f t="shared" si="0"/>
        <v>0</v>
      </c>
      <c r="L17" s="187"/>
      <c r="M17" s="127">
        <v>2</v>
      </c>
      <c r="N17" s="263"/>
      <c r="O17" s="122" t="s">
        <v>119</v>
      </c>
      <c r="P17" s="80"/>
      <c r="Q17" s="123" t="str">
        <f>IFERROR(H17*24/P17,"")</f>
        <v/>
      </c>
      <c r="R17" s="246"/>
      <c r="S17" s="232"/>
      <c r="T17" s="233"/>
      <c r="U17" s="233"/>
      <c r="V17" s="233"/>
    </row>
    <row r="18" spans="1:22" s="35" customFormat="1" ht="24" customHeight="1" x14ac:dyDescent="0.2">
      <c r="A18" s="208" t="s">
        <v>227</v>
      </c>
      <c r="B18" s="209"/>
      <c r="C18" s="209" t="s">
        <v>139</v>
      </c>
      <c r="D18" s="209" t="s">
        <v>230</v>
      </c>
      <c r="E18" s="252"/>
      <c r="F18" s="210" t="s">
        <v>264</v>
      </c>
      <c r="G18" s="211"/>
      <c r="H18" s="75"/>
      <c r="I18" s="212">
        <f t="shared" si="1"/>
        <v>0</v>
      </c>
      <c r="J18" s="213">
        <f>IF($F$4="EOP 1", VLOOKUP(C18&amp;F18&amp;$F$4,'Rebate Reference Table'!$E$5:$J$132,5,FALSE), VLOOKUP(C18&amp;F18&amp;$F$4,'Rebate Reference Table'!$F$5:$J$132,5,FALSE))</f>
        <v>25</v>
      </c>
      <c r="K18" s="212">
        <f t="shared" si="0"/>
        <v>0</v>
      </c>
      <c r="L18" s="137"/>
      <c r="M18" s="214">
        <v>2</v>
      </c>
      <c r="N18" s="264"/>
      <c r="O18" s="215" t="s">
        <v>119</v>
      </c>
      <c r="P18" s="80"/>
      <c r="Q18" s="216" t="str">
        <f>IFERROR(H18*24/P18,"")</f>
        <v/>
      </c>
      <c r="R18" s="245"/>
      <c r="S18" s="162"/>
    </row>
    <row r="19" spans="1:22" ht="24" customHeight="1" x14ac:dyDescent="0.2">
      <c r="A19" s="36" t="s">
        <v>227</v>
      </c>
      <c r="B19" s="55"/>
      <c r="C19" s="55" t="s">
        <v>135</v>
      </c>
      <c r="D19" s="55" t="s">
        <v>228</v>
      </c>
      <c r="E19" s="250" t="s">
        <v>135</v>
      </c>
      <c r="F19" s="37" t="s">
        <v>98</v>
      </c>
      <c r="G19" s="76"/>
      <c r="H19" s="75"/>
      <c r="I19" s="205">
        <f t="shared" si="1"/>
        <v>0</v>
      </c>
      <c r="J19" s="217">
        <f>IF($F$4="EOP 1", VLOOKUP(C19&amp;F19&amp;$F$4,'Rebate Reference Table'!$E$5:$J$132,3,FALSE), VLOOKUP(C19&amp;F19&amp;$F$4,'Rebate Reference Table'!$F$5:$J$132,5,FALSE))</f>
        <v>10</v>
      </c>
      <c r="K19" s="205">
        <f t="shared" si="0"/>
        <v>0</v>
      </c>
      <c r="L19" s="218"/>
      <c r="M19" s="173">
        <v>2.2000000000000002</v>
      </c>
      <c r="N19" s="265" t="s">
        <v>299</v>
      </c>
      <c r="O19" s="86" t="s">
        <v>131</v>
      </c>
      <c r="P19" s="80"/>
      <c r="Q19" s="87" t="str">
        <f>IFERROR(H19*64/P19,"")</f>
        <v/>
      </c>
      <c r="R19" s="300" t="s">
        <v>174</v>
      </c>
      <c r="S19" s="219"/>
      <c r="T19" s="220"/>
      <c r="U19" s="220"/>
      <c r="V19" s="220"/>
    </row>
    <row r="20" spans="1:22" ht="24" customHeight="1" x14ac:dyDescent="0.2">
      <c r="A20" s="68" t="s">
        <v>227</v>
      </c>
      <c r="B20" s="69"/>
      <c r="C20" s="69" t="s">
        <v>135</v>
      </c>
      <c r="D20" s="69" t="s">
        <v>228</v>
      </c>
      <c r="E20" s="271"/>
      <c r="F20" s="70" t="s">
        <v>91</v>
      </c>
      <c r="G20" s="74"/>
      <c r="H20" s="75"/>
      <c r="I20" s="78">
        <f t="shared" si="1"/>
        <v>0</v>
      </c>
      <c r="J20" s="79">
        <f>IF($F$4="EOP 1", VLOOKUP(C20&amp;F20&amp;$F$4,'Rebate Reference Table'!$E$5:$J$132,3,FALSE), VLOOKUP(C20&amp;F20&amp;$F$4,'Rebate Reference Table'!$F$5:$J$132,5,FALSE))</f>
        <v>48</v>
      </c>
      <c r="K20" s="78">
        <f t="shared" si="0"/>
        <v>0</v>
      </c>
      <c r="L20" s="137"/>
      <c r="M20" s="171">
        <v>2.2000000000000002</v>
      </c>
      <c r="N20" s="266"/>
      <c r="O20" s="82" t="s">
        <v>131</v>
      </c>
      <c r="P20" s="80"/>
      <c r="Q20" s="83" t="str">
        <f>IFERROR(H20*320/P20,"")</f>
        <v/>
      </c>
      <c r="R20" s="269"/>
      <c r="S20" s="161"/>
    </row>
    <row r="21" spans="1:22" ht="24" customHeight="1" x14ac:dyDescent="0.2">
      <c r="A21" s="36" t="s">
        <v>227</v>
      </c>
      <c r="B21" s="55"/>
      <c r="C21" s="55" t="s">
        <v>135</v>
      </c>
      <c r="D21" s="55" t="s">
        <v>229</v>
      </c>
      <c r="E21" s="271"/>
      <c r="F21" s="37" t="s">
        <v>265</v>
      </c>
      <c r="G21" s="76"/>
      <c r="H21" s="75"/>
      <c r="I21" s="78">
        <f t="shared" si="1"/>
        <v>0</v>
      </c>
      <c r="J21" s="79">
        <f>IF($F$4="EOP 1", VLOOKUP(C21&amp;F21&amp;$F$4,'Rebate Reference Table'!$E$5:$J$132,4,FALSE), VLOOKUP(C21&amp;F21&amp;$F$4,'Rebate Reference Table'!$F$5:$J$132,5,FALSE))</f>
        <v>125</v>
      </c>
      <c r="K21" s="78">
        <f t="shared" si="0"/>
        <v>0</v>
      </c>
      <c r="L21" s="137"/>
      <c r="M21" s="171">
        <v>2.2000000000000002</v>
      </c>
      <c r="N21" s="266"/>
      <c r="O21" s="82" t="s">
        <v>131</v>
      </c>
      <c r="P21" s="80"/>
      <c r="Q21" s="83" t="str">
        <f>IFERROR(H21*320/P21,"")</f>
        <v/>
      </c>
      <c r="R21" s="269"/>
      <c r="S21" s="161"/>
    </row>
    <row r="22" spans="1:22" ht="24" customHeight="1" x14ac:dyDescent="0.2">
      <c r="A22" s="36" t="s">
        <v>227</v>
      </c>
      <c r="B22" s="55"/>
      <c r="C22" s="55" t="s">
        <v>135</v>
      </c>
      <c r="D22" s="55" t="s">
        <v>230</v>
      </c>
      <c r="E22" s="238"/>
      <c r="F22" s="37" t="s">
        <v>317</v>
      </c>
      <c r="G22" s="76"/>
      <c r="H22" s="75"/>
      <c r="I22" s="78">
        <f t="shared" si="1"/>
        <v>0</v>
      </c>
      <c r="J22" s="79">
        <f>IF($F$4="EOP 1", VLOOKUP(C22&amp;F22&amp;$F$4,'Rebate Reference Table'!$E$5:$J$132,5,FALSE), VLOOKUP(C22&amp;F22&amp;$F$4,'Rebate Reference Table'!$F$5:$J$132,5,FALSE))</f>
        <v>150</v>
      </c>
      <c r="K22" s="78">
        <f t="shared" si="0"/>
        <v>0</v>
      </c>
      <c r="L22" s="137"/>
      <c r="M22" s="171">
        <v>2.2000000000000002</v>
      </c>
      <c r="N22" s="267"/>
      <c r="O22" s="82" t="s">
        <v>131</v>
      </c>
      <c r="P22" s="80"/>
      <c r="Q22" s="83" t="str">
        <f>IFERROR(H22*320/P22,"")</f>
        <v/>
      </c>
      <c r="R22" s="270"/>
      <c r="S22" s="161"/>
    </row>
    <row r="23" spans="1:22" ht="24" customHeight="1" x14ac:dyDescent="0.2">
      <c r="A23" s="163"/>
      <c r="B23" s="164" t="s">
        <v>227</v>
      </c>
      <c r="C23" s="164" t="s">
        <v>77</v>
      </c>
      <c r="D23" s="164" t="s">
        <v>228</v>
      </c>
      <c r="E23" s="190" t="s">
        <v>77</v>
      </c>
      <c r="F23" s="119" t="s">
        <v>108</v>
      </c>
      <c r="G23" s="76"/>
      <c r="H23" s="75"/>
      <c r="I23" s="120">
        <f t="shared" si="1"/>
        <v>0</v>
      </c>
      <c r="J23" s="121">
        <f>IF($F$4="EOP 1", VLOOKUP(C23&amp;F23&amp;$F$4,'Rebate Reference Table'!$E$5:$J$132,3,FALSE), VLOOKUP(C23&amp;F23&amp;$F$4,'Rebate Reference Table'!$F$5:$J$132,5,FALSE))</f>
        <v>12</v>
      </c>
      <c r="K23" s="204">
        <f t="shared" si="0"/>
        <v>0</v>
      </c>
      <c r="L23" s="137"/>
      <c r="M23" s="172" t="s">
        <v>123</v>
      </c>
      <c r="N23" s="130" t="s">
        <v>123</v>
      </c>
      <c r="O23" s="130" t="s">
        <v>122</v>
      </c>
      <c r="P23" s="80"/>
      <c r="Q23" s="124"/>
      <c r="R23" s="191" t="s">
        <v>174</v>
      </c>
      <c r="S23" s="161"/>
    </row>
    <row r="24" spans="1:22" ht="24" customHeight="1" x14ac:dyDescent="0.2">
      <c r="A24" s="68"/>
      <c r="B24" s="69" t="s">
        <v>227</v>
      </c>
      <c r="C24" s="69" t="s">
        <v>81</v>
      </c>
      <c r="D24" s="69" t="s">
        <v>228</v>
      </c>
      <c r="E24" s="271" t="s">
        <v>81</v>
      </c>
      <c r="F24" s="70" t="s">
        <v>103</v>
      </c>
      <c r="G24" s="74"/>
      <c r="H24" s="75"/>
      <c r="I24" s="78">
        <f t="shared" si="1"/>
        <v>0</v>
      </c>
      <c r="J24" s="79">
        <f>IF($F$4="EOP 1", VLOOKUP(C24&amp;F24&amp;$F$4,'Rebate Reference Table'!$E$5:$J$132,3,FALSE), VLOOKUP(C24&amp;F24&amp;$F$4,'Rebate Reference Table'!$F$5:$J$132,5,FALSE))</f>
        <v>10</v>
      </c>
      <c r="K24" s="78">
        <f t="shared" si="0"/>
        <v>0</v>
      </c>
      <c r="L24" s="137"/>
      <c r="M24" s="171" t="s">
        <v>123</v>
      </c>
      <c r="N24" s="82" t="s">
        <v>123</v>
      </c>
      <c r="O24" s="82" t="s">
        <v>122</v>
      </c>
      <c r="P24" s="80"/>
      <c r="Q24" s="84"/>
      <c r="R24" s="269" t="s">
        <v>187</v>
      </c>
      <c r="S24" s="161"/>
    </row>
    <row r="25" spans="1:22" ht="24" customHeight="1" x14ac:dyDescent="0.2">
      <c r="A25" s="36"/>
      <c r="B25" s="55" t="s">
        <v>227</v>
      </c>
      <c r="C25" s="55" t="s">
        <v>81</v>
      </c>
      <c r="D25" s="55" t="s">
        <v>228</v>
      </c>
      <c r="E25" s="238"/>
      <c r="F25" s="37" t="s">
        <v>109</v>
      </c>
      <c r="G25" s="76"/>
      <c r="H25" s="75"/>
      <c r="I25" s="78">
        <f>G25*H25</f>
        <v>0</v>
      </c>
      <c r="J25" s="79">
        <f>IF($F$4="EOP 1", VLOOKUP(C25&amp;F25&amp;$F$4,'Rebate Reference Table'!$E$5:$J$132,3,FALSE), VLOOKUP(C25&amp;F25&amp;$F$4,'Rebate Reference Table'!$F$5:$J$132,5,FALSE))</f>
        <v>150</v>
      </c>
      <c r="K25" s="205">
        <f t="shared" si="0"/>
        <v>0</v>
      </c>
      <c r="L25" s="187"/>
      <c r="M25" s="173" t="s">
        <v>123</v>
      </c>
      <c r="N25" s="86" t="s">
        <v>123</v>
      </c>
      <c r="O25" s="86" t="s">
        <v>122</v>
      </c>
      <c r="P25" s="80"/>
      <c r="Q25" s="85"/>
      <c r="R25" s="270"/>
      <c r="S25" s="192"/>
      <c r="T25" s="193"/>
      <c r="U25" s="193"/>
      <c r="V25" s="193"/>
    </row>
    <row r="26" spans="1:22" ht="24" customHeight="1" thickBot="1" x14ac:dyDescent="0.25">
      <c r="A26" s="227" t="s">
        <v>39</v>
      </c>
      <c r="B26" s="227" t="s">
        <v>39</v>
      </c>
      <c r="C26" s="227"/>
      <c r="D26" s="227" t="s">
        <v>39</v>
      </c>
      <c r="E26" s="228" t="s">
        <v>39</v>
      </c>
      <c r="F26" s="229"/>
      <c r="G26" s="229"/>
      <c r="H26" s="229"/>
      <c r="I26" s="229"/>
      <c r="J26" s="229"/>
      <c r="K26" s="230"/>
      <c r="L26" s="137"/>
      <c r="M26" s="229"/>
      <c r="N26" s="229"/>
      <c r="O26" s="229"/>
      <c r="P26" s="229"/>
      <c r="Q26" s="229"/>
      <c r="R26" s="231"/>
      <c r="S26" s="161"/>
    </row>
    <row r="27" spans="1:22" ht="24" customHeight="1" x14ac:dyDescent="0.2">
      <c r="A27" s="163" t="s">
        <v>227</v>
      </c>
      <c r="B27" s="164" t="s">
        <v>227</v>
      </c>
      <c r="C27" s="164" t="s">
        <v>67</v>
      </c>
      <c r="D27" s="164" t="s">
        <v>228</v>
      </c>
      <c r="E27" s="273" t="s">
        <v>67</v>
      </c>
      <c r="F27" s="118" t="s">
        <v>91</v>
      </c>
      <c r="G27" s="76"/>
      <c r="H27" s="77"/>
      <c r="I27" s="120">
        <f t="shared" si="1"/>
        <v>0</v>
      </c>
      <c r="J27" s="121">
        <f>IF($F$4="EOP 1", VLOOKUP(C27&amp;F27&amp;$F$4,'Rebate Reference Table'!$E$5:$J$132,3,FALSE), VLOOKUP(C27&amp;F27&amp;$F$4,'Rebate Reference Table'!$F$5:$J$132,5,FALSE))</f>
        <v>20</v>
      </c>
      <c r="K27" s="204">
        <f t="shared" ref="K27:K56" si="2">H27*J27</f>
        <v>0</v>
      </c>
      <c r="L27" s="187"/>
      <c r="M27" s="127">
        <v>1</v>
      </c>
      <c r="N27" s="122">
        <v>8</v>
      </c>
      <c r="O27" s="122" t="s">
        <v>127</v>
      </c>
      <c r="P27" s="81"/>
      <c r="Q27" s="123" t="str">
        <f>IFERROR((H27*320)/(P27*43.56),"")</f>
        <v/>
      </c>
      <c r="R27" s="274" t="s">
        <v>188</v>
      </c>
      <c r="S27" s="161"/>
    </row>
    <row r="28" spans="1:22" ht="24" customHeight="1" x14ac:dyDescent="0.2">
      <c r="A28" s="165" t="s">
        <v>227</v>
      </c>
      <c r="B28" s="166" t="s">
        <v>227</v>
      </c>
      <c r="C28" s="166" t="s">
        <v>67</v>
      </c>
      <c r="D28" s="166" t="s">
        <v>230</v>
      </c>
      <c r="E28" s="236"/>
      <c r="F28" s="118" t="s">
        <v>318</v>
      </c>
      <c r="G28" s="74"/>
      <c r="H28" s="77"/>
      <c r="I28" s="120">
        <f t="shared" si="1"/>
        <v>0</v>
      </c>
      <c r="J28" s="121">
        <f>IF($F$4="EOP 1", VLOOKUP(C28&amp;F28&amp;$F$4,'Rebate Reference Table'!$E$5:$J$132,5,FALSE), VLOOKUP(C28&amp;F28&amp;$F$4,'Rebate Reference Table'!$F$5:$J$132,5,FALSE))</f>
        <v>30</v>
      </c>
      <c r="K28" s="120">
        <f t="shared" si="2"/>
        <v>0</v>
      </c>
      <c r="L28" s="137"/>
      <c r="M28" s="127">
        <v>1</v>
      </c>
      <c r="N28" s="122">
        <v>8</v>
      </c>
      <c r="O28" s="122" t="s">
        <v>127</v>
      </c>
      <c r="P28" s="81"/>
      <c r="Q28" s="123" t="str">
        <f>IFERROR((H28*320)/(P28*43.56),"")</f>
        <v/>
      </c>
      <c r="R28" s="246"/>
      <c r="S28" s="161"/>
    </row>
    <row r="29" spans="1:22" s="35" customFormat="1" ht="24" customHeight="1" x14ac:dyDescent="0.2">
      <c r="A29" s="36" t="s">
        <v>227</v>
      </c>
      <c r="B29" s="55"/>
      <c r="C29" s="55" t="s">
        <v>63</v>
      </c>
      <c r="D29" s="55" t="s">
        <v>228</v>
      </c>
      <c r="E29" s="185" t="s">
        <v>63</v>
      </c>
      <c r="F29" s="37" t="s">
        <v>99</v>
      </c>
      <c r="G29" s="74"/>
      <c r="H29" s="77"/>
      <c r="I29" s="78">
        <f t="shared" si="1"/>
        <v>0</v>
      </c>
      <c r="J29" s="79">
        <f>IF($F$4="EOP 1", VLOOKUP(C29&amp;F29&amp;$F$4,'Rebate Reference Table'!$E$5:$J$132,3,FALSE), VLOOKUP(C29&amp;F29&amp;$F$4,'Rebate Reference Table'!$F$5:$J$132,5,FALSE))</f>
        <v>3</v>
      </c>
      <c r="K29" s="205">
        <f t="shared" si="2"/>
        <v>0</v>
      </c>
      <c r="L29" s="137"/>
      <c r="M29" s="173">
        <v>1.5</v>
      </c>
      <c r="N29" s="86">
        <v>9</v>
      </c>
      <c r="O29" s="82" t="s">
        <v>130</v>
      </c>
      <c r="P29" s="81"/>
      <c r="Q29" s="87" t="str">
        <f>IFERROR((H29*30)/(P29*43.56),"")</f>
        <v/>
      </c>
      <c r="R29" s="158" t="s">
        <v>174</v>
      </c>
      <c r="S29" s="162"/>
    </row>
    <row r="30" spans="1:22" ht="24" customHeight="1" x14ac:dyDescent="0.2">
      <c r="A30" s="163"/>
      <c r="B30" s="164" t="s">
        <v>227</v>
      </c>
      <c r="C30" s="164" t="s">
        <v>70</v>
      </c>
      <c r="D30" s="164" t="s">
        <v>228</v>
      </c>
      <c r="E30" s="186" t="s">
        <v>70</v>
      </c>
      <c r="F30" s="119" t="s">
        <v>116</v>
      </c>
      <c r="G30" s="74"/>
      <c r="H30" s="77"/>
      <c r="I30" s="120">
        <f t="shared" si="1"/>
        <v>0</v>
      </c>
      <c r="J30" s="121">
        <f>IF($F$4="EOP 1", VLOOKUP(C30&amp;F30&amp;$F$4,'Rebate Reference Table'!$E$5:$J$132,3,FALSE), VLOOKUP(C30&amp;F30&amp;$F$4,'Rebate Reference Table'!$F$5:$J$132,5,FALSE))</f>
        <v>10</v>
      </c>
      <c r="K30" s="120">
        <f t="shared" si="2"/>
        <v>0</v>
      </c>
      <c r="L30" s="137"/>
      <c r="M30" s="172">
        <v>2</v>
      </c>
      <c r="N30" s="130">
        <v>6</v>
      </c>
      <c r="O30" s="122" t="s">
        <v>129</v>
      </c>
      <c r="P30" s="81"/>
      <c r="Q30" s="132" t="str">
        <f>IFERROR((H30*80)/(P30*43.56),"")</f>
        <v/>
      </c>
      <c r="R30" s="159" t="s">
        <v>189</v>
      </c>
      <c r="S30" s="161"/>
    </row>
    <row r="31" spans="1:22" ht="24" customHeight="1" x14ac:dyDescent="0.2">
      <c r="A31" s="68" t="s">
        <v>227</v>
      </c>
      <c r="B31" s="69" t="s">
        <v>227</v>
      </c>
      <c r="C31" s="69" t="s">
        <v>64</v>
      </c>
      <c r="D31" s="69" t="s">
        <v>228</v>
      </c>
      <c r="E31" s="238" t="s">
        <v>64</v>
      </c>
      <c r="F31" s="70" t="s">
        <v>101</v>
      </c>
      <c r="G31" s="74"/>
      <c r="H31" s="77"/>
      <c r="I31" s="78">
        <f t="shared" si="1"/>
        <v>0</v>
      </c>
      <c r="J31" s="79">
        <f>IF($F$4="EOP 1", VLOOKUP(C31&amp;F31&amp;$F$4,'Rebate Reference Table'!$E$5:$J$132,3,FALSE), VLOOKUP(C31&amp;F31&amp;$F$4,'Rebate Reference Table'!$F$5:$J$132,5,FALSE))</f>
        <v>3</v>
      </c>
      <c r="K31" s="78">
        <f t="shared" si="2"/>
        <v>0</v>
      </c>
      <c r="L31" s="137"/>
      <c r="M31" s="171">
        <v>8</v>
      </c>
      <c r="N31" s="82">
        <v>24</v>
      </c>
      <c r="O31" s="82" t="s">
        <v>120</v>
      </c>
      <c r="P31" s="81"/>
      <c r="Q31" s="168" t="str">
        <f>IFERROR(H31*3200/P31,"")</f>
        <v/>
      </c>
      <c r="R31" s="256" t="s">
        <v>187</v>
      </c>
      <c r="S31" s="161"/>
    </row>
    <row r="32" spans="1:22" ht="24" customHeight="1" x14ac:dyDescent="0.2">
      <c r="A32" s="68" t="s">
        <v>227</v>
      </c>
      <c r="B32" s="69" t="s">
        <v>227</v>
      </c>
      <c r="C32" s="69" t="s">
        <v>64</v>
      </c>
      <c r="D32" s="69" t="s">
        <v>228</v>
      </c>
      <c r="E32" s="271"/>
      <c r="F32" s="70" t="s">
        <v>91</v>
      </c>
      <c r="G32" s="74"/>
      <c r="H32" s="77"/>
      <c r="I32" s="78">
        <f t="shared" si="1"/>
        <v>0</v>
      </c>
      <c r="J32" s="79">
        <f>IF($F$4="EOP 1", VLOOKUP(C32&amp;F32&amp;$F$4,'Rebate Reference Table'!$E$5:$J$132,3,FALSE), VLOOKUP(C32&amp;F32&amp;$F$4,'Rebate Reference Table'!$F$5:$J$132,5,FALSE))</f>
        <v>30</v>
      </c>
      <c r="K32" s="78">
        <f t="shared" si="2"/>
        <v>0</v>
      </c>
      <c r="L32" s="137"/>
      <c r="M32" s="171">
        <v>8</v>
      </c>
      <c r="N32" s="82">
        <v>24</v>
      </c>
      <c r="O32" s="167" t="s">
        <v>120</v>
      </c>
      <c r="P32" s="81"/>
      <c r="Q32" s="169" t="str">
        <f>IFERROR(H32*32000/P32,"")</f>
        <v/>
      </c>
      <c r="R32" s="255"/>
      <c r="S32" s="161"/>
    </row>
    <row r="33" spans="1:22" ht="24" customHeight="1" x14ac:dyDescent="0.2">
      <c r="A33" s="36" t="s">
        <v>227</v>
      </c>
      <c r="B33" s="55" t="s">
        <v>227</v>
      </c>
      <c r="C33" s="55" t="s">
        <v>64</v>
      </c>
      <c r="D33" s="55" t="s">
        <v>229</v>
      </c>
      <c r="E33" s="271"/>
      <c r="F33" s="37" t="s">
        <v>319</v>
      </c>
      <c r="G33" s="74"/>
      <c r="H33" s="77"/>
      <c r="I33" s="78">
        <f t="shared" si="1"/>
        <v>0</v>
      </c>
      <c r="J33" s="79">
        <f>IF($F$4="EOP 1", VLOOKUP(C33&amp;F33&amp;$F$4,'Rebate Reference Table'!$E$5:$J$132,4,FALSE), VLOOKUP(C33&amp;F33&amp;$F$4,'Rebate Reference Table'!$F$5:$J$132,5,FALSE))</f>
        <v>60</v>
      </c>
      <c r="K33" s="78">
        <f t="shared" si="2"/>
        <v>0</v>
      </c>
      <c r="L33" s="137"/>
      <c r="M33" s="173">
        <v>8</v>
      </c>
      <c r="N33" s="86">
        <v>24</v>
      </c>
      <c r="O33" s="89" t="s">
        <v>120</v>
      </c>
      <c r="P33" s="81"/>
      <c r="Q33" s="170" t="str">
        <f>IFERROR(H33*32000/P33,"")</f>
        <v/>
      </c>
      <c r="R33" s="255"/>
      <c r="S33" s="161"/>
    </row>
    <row r="34" spans="1:22" ht="24" customHeight="1" x14ac:dyDescent="0.2">
      <c r="A34" s="163" t="s">
        <v>227</v>
      </c>
      <c r="B34" s="164" t="s">
        <v>227</v>
      </c>
      <c r="C34" s="164" t="s">
        <v>71</v>
      </c>
      <c r="D34" s="164" t="s">
        <v>228</v>
      </c>
      <c r="E34" s="186" t="s">
        <v>71</v>
      </c>
      <c r="F34" s="119" t="s">
        <v>101</v>
      </c>
      <c r="G34" s="74"/>
      <c r="H34" s="77"/>
      <c r="I34" s="120">
        <f t="shared" si="1"/>
        <v>0</v>
      </c>
      <c r="J34" s="121">
        <f>IF($F$4="EOP 1", VLOOKUP(C34&amp;F34&amp;$F$4,'Rebate Reference Table'!$E$5:$J$132,3,FALSE), VLOOKUP(C34&amp;F34&amp;$F$4,'Rebate Reference Table'!$F$5:$J$132,5,FALSE))</f>
        <v>15</v>
      </c>
      <c r="K34" s="120">
        <f t="shared" si="2"/>
        <v>0</v>
      </c>
      <c r="L34" s="187"/>
      <c r="M34" s="172">
        <v>1</v>
      </c>
      <c r="N34" s="130">
        <v>4</v>
      </c>
      <c r="O34" s="130" t="s">
        <v>120</v>
      </c>
      <c r="P34" s="81"/>
      <c r="Q34" s="131" t="str">
        <f>IFERROR(H34*3200/P34,"")</f>
        <v/>
      </c>
      <c r="R34" s="159" t="s">
        <v>191</v>
      </c>
      <c r="S34" s="192"/>
      <c r="T34" s="193"/>
      <c r="U34" s="193"/>
      <c r="V34" s="193"/>
    </row>
    <row r="35" spans="1:22" ht="24" customHeight="1" x14ac:dyDescent="0.2">
      <c r="A35" s="68" t="s">
        <v>227</v>
      </c>
      <c r="B35" s="69" t="s">
        <v>227</v>
      </c>
      <c r="C35" s="69" t="s">
        <v>65</v>
      </c>
      <c r="D35" s="69" t="s">
        <v>228</v>
      </c>
      <c r="E35" s="271" t="s">
        <v>65</v>
      </c>
      <c r="F35" s="70" t="s">
        <v>106</v>
      </c>
      <c r="G35" s="74"/>
      <c r="H35" s="77"/>
      <c r="I35" s="78">
        <f t="shared" si="1"/>
        <v>0</v>
      </c>
      <c r="J35" s="79">
        <f>IF($F$4="EOP 1", VLOOKUP(C35&amp;F35&amp;$F$4,'Rebate Reference Table'!$E$5:$J$132,3,FALSE), VLOOKUP(C35&amp;F35&amp;$F$4,'Rebate Reference Table'!$F$5:$J$132,5,FALSE))</f>
        <v>10</v>
      </c>
      <c r="K35" s="78">
        <f t="shared" si="2"/>
        <v>0</v>
      </c>
      <c r="L35" s="137"/>
      <c r="M35" s="171">
        <v>0.88149999999999995</v>
      </c>
      <c r="N35" s="82">
        <v>1</v>
      </c>
      <c r="O35" s="82" t="s">
        <v>129</v>
      </c>
      <c r="P35" s="81"/>
      <c r="Q35" s="83" t="str">
        <f>IFERROR((H35*38.4)/(P35*43.56),"")</f>
        <v/>
      </c>
      <c r="R35" s="255" t="s">
        <v>165</v>
      </c>
      <c r="S35" s="161"/>
    </row>
    <row r="36" spans="1:22" ht="24" customHeight="1" x14ac:dyDescent="0.2">
      <c r="A36" s="36" t="s">
        <v>227</v>
      </c>
      <c r="B36" s="55" t="s">
        <v>227</v>
      </c>
      <c r="C36" s="55" t="s">
        <v>65</v>
      </c>
      <c r="D36" s="55" t="s">
        <v>229</v>
      </c>
      <c r="E36" s="238"/>
      <c r="F36" s="37" t="s">
        <v>266</v>
      </c>
      <c r="G36" s="74"/>
      <c r="H36" s="77"/>
      <c r="I36" s="78">
        <f t="shared" si="1"/>
        <v>0</v>
      </c>
      <c r="J36" s="79">
        <f>IF($F$4="EOP 1", VLOOKUP(C36&amp;F36&amp;$F$4,'Rebate Reference Table'!$E$5:$J$132,4,FALSE), VLOOKUP(C36&amp;F36&amp;$F$4,'Rebate Reference Table'!$F$5:$J$132,5,FALSE))</f>
        <v>25</v>
      </c>
      <c r="K36" s="205">
        <f t="shared" si="2"/>
        <v>0</v>
      </c>
      <c r="L36" s="137"/>
      <c r="M36" s="173">
        <v>0.88149999999999995</v>
      </c>
      <c r="N36" s="86">
        <v>1</v>
      </c>
      <c r="O36" s="82" t="s">
        <v>129</v>
      </c>
      <c r="P36" s="81"/>
      <c r="Q36" s="87" t="str">
        <f>IFERROR((H36*38.4)/(P36*43.56),"")</f>
        <v/>
      </c>
      <c r="R36" s="256"/>
      <c r="S36" s="161"/>
    </row>
    <row r="37" spans="1:22" ht="24" customHeight="1" x14ac:dyDescent="0.2">
      <c r="A37" s="163"/>
      <c r="B37" s="164" t="s">
        <v>227</v>
      </c>
      <c r="C37" s="164" t="s">
        <v>212</v>
      </c>
      <c r="D37" s="164" t="s">
        <v>228</v>
      </c>
      <c r="E37" s="184" t="s">
        <v>212</v>
      </c>
      <c r="F37" s="119" t="s">
        <v>210</v>
      </c>
      <c r="G37" s="74"/>
      <c r="H37" s="77"/>
      <c r="I37" s="120">
        <f t="shared" si="1"/>
        <v>0</v>
      </c>
      <c r="J37" s="121">
        <f>IF($F$4="EOP 1", VLOOKUP(C37&amp;F37&amp;$F$4,'Rebate Reference Table'!$E$5:$J$132,3,FALSE), VLOOKUP(C37&amp;F37&amp;$F$4,'Rebate Reference Table'!$F$5:$J$132,5,FALSE))</f>
        <v>5</v>
      </c>
      <c r="K37" s="204">
        <f t="shared" si="2"/>
        <v>0</v>
      </c>
      <c r="L37" s="137"/>
      <c r="M37" s="172">
        <v>0.8</v>
      </c>
      <c r="N37" s="130">
        <v>0.8</v>
      </c>
      <c r="O37" s="130" t="s">
        <v>207</v>
      </c>
      <c r="P37" s="81"/>
      <c r="Q37" s="131" t="str">
        <f>IFERROR(H37*1000/P37,"")</f>
        <v/>
      </c>
      <c r="R37" s="194"/>
      <c r="S37" s="161"/>
    </row>
    <row r="38" spans="1:22" ht="24" customHeight="1" x14ac:dyDescent="0.2">
      <c r="A38" s="36" t="s">
        <v>227</v>
      </c>
      <c r="B38" s="55"/>
      <c r="C38" s="55" t="s">
        <v>213</v>
      </c>
      <c r="D38" s="55" t="s">
        <v>228</v>
      </c>
      <c r="E38" s="237" t="s">
        <v>213</v>
      </c>
      <c r="F38" s="37" t="s">
        <v>91</v>
      </c>
      <c r="G38" s="74"/>
      <c r="H38" s="77"/>
      <c r="I38" s="78">
        <f>G38*H38</f>
        <v>0</v>
      </c>
      <c r="J38" s="79">
        <f>IF($F$4="EOP 1", VLOOKUP(C38&amp;F38&amp;$F$4,'Rebate Reference Table'!$E$5:$J$132,3,FALSE), VLOOKUP(C38&amp;F38&amp;$F$4,'Rebate Reference Table'!$F$5:$J$132,5,FALSE))</f>
        <v>55</v>
      </c>
      <c r="K38" s="78">
        <f>H38*J38</f>
        <v>0</v>
      </c>
      <c r="L38" s="137"/>
      <c r="M38" s="173">
        <v>3</v>
      </c>
      <c r="N38" s="86">
        <v>6</v>
      </c>
      <c r="O38" s="82" t="s">
        <v>127</v>
      </c>
      <c r="P38" s="81"/>
      <c r="Q38" s="83" t="str">
        <f>IFERROR((H38*320)/(P38*43.56),"")</f>
        <v/>
      </c>
      <c r="R38" s="258" t="s">
        <v>243</v>
      </c>
      <c r="S38" s="161"/>
    </row>
    <row r="39" spans="1:22" ht="24" customHeight="1" x14ac:dyDescent="0.2">
      <c r="A39" s="36" t="s">
        <v>227</v>
      </c>
      <c r="B39" s="55"/>
      <c r="C39" s="55" t="s">
        <v>213</v>
      </c>
      <c r="D39" s="55" t="s">
        <v>229</v>
      </c>
      <c r="E39" s="271"/>
      <c r="F39" s="37" t="s">
        <v>267</v>
      </c>
      <c r="G39" s="74"/>
      <c r="H39" s="77"/>
      <c r="I39" s="78">
        <f>G39*H39</f>
        <v>0</v>
      </c>
      <c r="J39" s="79">
        <f>IF($F$4="EOP 1", VLOOKUP(C39&amp;F39&amp;$F$4,'Rebate Reference Table'!$E$5:$J$132,4,FALSE), VLOOKUP(C39&amp;F39&amp;$F$4,'Rebate Reference Table'!$F$5:$J$132,5,FALSE))</f>
        <v>130</v>
      </c>
      <c r="K39" s="78">
        <f>H39*J39</f>
        <v>0</v>
      </c>
      <c r="L39" s="137"/>
      <c r="M39" s="173">
        <v>3</v>
      </c>
      <c r="N39" s="86">
        <v>6</v>
      </c>
      <c r="O39" s="82" t="s">
        <v>127</v>
      </c>
      <c r="P39" s="81"/>
      <c r="Q39" s="83" t="str">
        <f>IFERROR((H39*320)/(P39*43.56),"")</f>
        <v/>
      </c>
      <c r="R39" s="255"/>
      <c r="S39" s="161"/>
    </row>
    <row r="40" spans="1:22" ht="24" customHeight="1" x14ac:dyDescent="0.2">
      <c r="A40" s="36" t="s">
        <v>227</v>
      </c>
      <c r="B40" s="55"/>
      <c r="C40" s="55" t="s">
        <v>213</v>
      </c>
      <c r="D40" s="55" t="s">
        <v>230</v>
      </c>
      <c r="E40" s="238"/>
      <c r="F40" s="37" t="s">
        <v>268</v>
      </c>
      <c r="G40" s="74"/>
      <c r="H40" s="77"/>
      <c r="I40" s="78">
        <f t="shared" si="1"/>
        <v>0</v>
      </c>
      <c r="J40" s="79">
        <f>IF($F$4="EOP 1", VLOOKUP(C40&amp;F40&amp;$F$4,'Rebate Reference Table'!$E$5:$J$132,5,FALSE), VLOOKUP(C40&amp;F40&amp;$F$4,'Rebate Reference Table'!$F$5:$J$132,5,FALSE))</f>
        <v>145</v>
      </c>
      <c r="K40" s="78">
        <f t="shared" si="2"/>
        <v>0</v>
      </c>
      <c r="L40" s="137"/>
      <c r="M40" s="173">
        <v>3</v>
      </c>
      <c r="N40" s="86">
        <v>6</v>
      </c>
      <c r="O40" s="82" t="s">
        <v>127</v>
      </c>
      <c r="P40" s="81"/>
      <c r="Q40" s="83" t="str">
        <f>IFERROR((H40*320)/(P40*43.56),"")</f>
        <v/>
      </c>
      <c r="R40" s="256"/>
      <c r="S40" s="161"/>
    </row>
    <row r="41" spans="1:22" ht="24" customHeight="1" x14ac:dyDescent="0.2">
      <c r="A41" s="163" t="s">
        <v>227</v>
      </c>
      <c r="B41" s="164"/>
      <c r="C41" s="164" t="s">
        <v>176</v>
      </c>
      <c r="D41" s="164" t="s">
        <v>228</v>
      </c>
      <c r="E41" s="235" t="s">
        <v>176</v>
      </c>
      <c r="F41" s="119" t="s">
        <v>107</v>
      </c>
      <c r="G41" s="74"/>
      <c r="H41" s="77"/>
      <c r="I41" s="120">
        <f t="shared" si="1"/>
        <v>0</v>
      </c>
      <c r="J41" s="121">
        <f>IF($F$4="EOP 1", VLOOKUP(C41&amp;F41&amp;$F$4,'Rebate Reference Table'!$E$5:$J$132,3,FALSE), VLOOKUP(C41&amp;F41&amp;$F$4,'Rebate Reference Table'!$F$5:$J$132,5,FALSE))</f>
        <v>10</v>
      </c>
      <c r="K41" s="120">
        <f t="shared" si="2"/>
        <v>0</v>
      </c>
      <c r="L41" s="137"/>
      <c r="M41" s="172">
        <v>0.27500000000000002</v>
      </c>
      <c r="N41" s="130">
        <v>0.31</v>
      </c>
      <c r="O41" s="122" t="s">
        <v>127</v>
      </c>
      <c r="P41" s="81"/>
      <c r="Q41" s="132" t="str">
        <f>IFERROR((H41*60)/(P41*43.56),"")</f>
        <v/>
      </c>
      <c r="R41" s="244" t="s">
        <v>192</v>
      </c>
      <c r="S41" s="161"/>
    </row>
    <row r="42" spans="1:22" ht="47.25" customHeight="1" x14ac:dyDescent="0.2">
      <c r="A42" s="163" t="s">
        <v>227</v>
      </c>
      <c r="B42" s="164"/>
      <c r="C42" s="164" t="s">
        <v>176</v>
      </c>
      <c r="D42" s="164" t="s">
        <v>229</v>
      </c>
      <c r="E42" s="236"/>
      <c r="F42" s="119" t="s">
        <v>269</v>
      </c>
      <c r="G42" s="74"/>
      <c r="H42" s="77"/>
      <c r="I42" s="120">
        <f t="shared" si="1"/>
        <v>0</v>
      </c>
      <c r="J42" s="121">
        <f>IF($F$4="EOP 1", VLOOKUP(C42&amp;F42&amp;$F$4,'Rebate Reference Table'!$E$5:$J$132,4,FALSE), VLOOKUP(C42&amp;F42&amp;$F$4,'Rebate Reference Table'!$F$5:$J$132,5,FALSE))</f>
        <v>30</v>
      </c>
      <c r="K42" s="120">
        <f t="shared" si="2"/>
        <v>0</v>
      </c>
      <c r="L42" s="137"/>
      <c r="M42" s="172">
        <v>0.27500000000000002</v>
      </c>
      <c r="N42" s="130">
        <v>0.31</v>
      </c>
      <c r="O42" s="122" t="s">
        <v>127</v>
      </c>
      <c r="P42" s="81"/>
      <c r="Q42" s="132" t="str">
        <f>IFERROR((H42*60)/(P42*43.56),"")</f>
        <v/>
      </c>
      <c r="R42" s="246"/>
      <c r="S42" s="161"/>
    </row>
    <row r="43" spans="1:22" ht="24" customHeight="1" x14ac:dyDescent="0.2">
      <c r="A43" s="36" t="s">
        <v>227</v>
      </c>
      <c r="B43" s="55" t="s">
        <v>227</v>
      </c>
      <c r="C43" s="55" t="s">
        <v>66</v>
      </c>
      <c r="D43" s="55" t="s">
        <v>228</v>
      </c>
      <c r="E43" s="185" t="s">
        <v>66</v>
      </c>
      <c r="F43" s="37" t="s">
        <v>105</v>
      </c>
      <c r="G43" s="74"/>
      <c r="H43" s="77"/>
      <c r="I43" s="78">
        <f t="shared" si="1"/>
        <v>0</v>
      </c>
      <c r="J43" s="79">
        <f>IF($F$4="EOP 1", VLOOKUP(C43&amp;F43&amp;$F$4,'Rebate Reference Table'!$E$5:$J$132,3,FALSE), VLOOKUP(C43&amp;F43&amp;$F$4,'Rebate Reference Table'!$F$5:$J$132,5,FALSE))</f>
        <v>5</v>
      </c>
      <c r="K43" s="78">
        <f t="shared" si="2"/>
        <v>0</v>
      </c>
      <c r="L43" s="187"/>
      <c r="M43" s="173">
        <v>1</v>
      </c>
      <c r="N43" s="86">
        <v>2</v>
      </c>
      <c r="O43" s="86" t="s">
        <v>207</v>
      </c>
      <c r="P43" s="81"/>
      <c r="Q43" s="88" t="str">
        <f>IFERROR(H43*500/P43,"")</f>
        <v/>
      </c>
      <c r="R43" s="158" t="s">
        <v>193</v>
      </c>
      <c r="S43" s="192"/>
      <c r="T43" s="193"/>
      <c r="U43" s="193"/>
      <c r="V43" s="193"/>
    </row>
    <row r="44" spans="1:22" ht="24" customHeight="1" x14ac:dyDescent="0.2">
      <c r="A44" s="165"/>
      <c r="B44" s="166" t="s">
        <v>227</v>
      </c>
      <c r="C44" s="166" t="s">
        <v>134</v>
      </c>
      <c r="D44" s="166" t="s">
        <v>228</v>
      </c>
      <c r="E44" s="252" t="s">
        <v>134</v>
      </c>
      <c r="F44" s="118" t="s">
        <v>97</v>
      </c>
      <c r="G44" s="74"/>
      <c r="H44" s="77"/>
      <c r="I44" s="120">
        <f t="shared" si="1"/>
        <v>0</v>
      </c>
      <c r="J44" s="121">
        <f>IF($F$4="EOP 1", VLOOKUP(C44&amp;F44&amp;$F$4,'Rebate Reference Table'!$E$5:$J$132,3,FALSE), VLOOKUP(C44&amp;F44&amp;$F$4,'Rebate Reference Table'!$F$5:$J$132,5,FALSE))</f>
        <v>20</v>
      </c>
      <c r="K44" s="120">
        <f t="shared" si="2"/>
        <v>0</v>
      </c>
      <c r="L44" s="137"/>
      <c r="M44" s="127">
        <v>1</v>
      </c>
      <c r="N44" s="122">
        <v>2</v>
      </c>
      <c r="O44" s="221" t="s">
        <v>120</v>
      </c>
      <c r="P44" s="81"/>
      <c r="Q44" s="222" t="str">
        <f>IFERROR(H44*1600/P44,"")</f>
        <v/>
      </c>
      <c r="R44" s="245" t="s">
        <v>193</v>
      </c>
      <c r="S44" s="161"/>
    </row>
    <row r="45" spans="1:22" ht="24" customHeight="1" x14ac:dyDescent="0.2">
      <c r="A45" s="163"/>
      <c r="B45" s="164" t="s">
        <v>227</v>
      </c>
      <c r="C45" s="164" t="s">
        <v>134</v>
      </c>
      <c r="D45" s="164" t="s">
        <v>229</v>
      </c>
      <c r="E45" s="252"/>
      <c r="F45" s="119" t="s">
        <v>270</v>
      </c>
      <c r="G45" s="74"/>
      <c r="H45" s="77"/>
      <c r="I45" s="120">
        <f t="shared" si="1"/>
        <v>0</v>
      </c>
      <c r="J45" s="121">
        <f>IF($F$4="EOP 1", VLOOKUP(C45&amp;F45&amp;$F$4,'Rebate Reference Table'!$E$5:$J$132,4,FALSE), VLOOKUP(C45&amp;F45&amp;$F$4,'Rebate Reference Table'!$F$5:$J$132,5,FALSE))</f>
        <v>50</v>
      </c>
      <c r="K45" s="120">
        <f t="shared" si="2"/>
        <v>0</v>
      </c>
      <c r="L45" s="137"/>
      <c r="M45" s="172">
        <v>1</v>
      </c>
      <c r="N45" s="130">
        <v>2</v>
      </c>
      <c r="O45" s="201" t="s">
        <v>120</v>
      </c>
      <c r="P45" s="81"/>
      <c r="Q45" s="202" t="str">
        <f>IFERROR(H45*1600/P45,"")</f>
        <v/>
      </c>
      <c r="R45" s="245"/>
      <c r="S45" s="161"/>
    </row>
    <row r="46" spans="1:22" ht="24" customHeight="1" x14ac:dyDescent="0.2">
      <c r="A46" s="36" t="s">
        <v>227</v>
      </c>
      <c r="B46" s="55" t="s">
        <v>227</v>
      </c>
      <c r="C46" s="55" t="s">
        <v>62</v>
      </c>
      <c r="D46" s="55" t="s">
        <v>228</v>
      </c>
      <c r="E46" s="185" t="s">
        <v>62</v>
      </c>
      <c r="F46" s="37" t="s">
        <v>103</v>
      </c>
      <c r="G46" s="74"/>
      <c r="H46" s="77"/>
      <c r="I46" s="78">
        <f t="shared" si="1"/>
        <v>0</v>
      </c>
      <c r="J46" s="79">
        <f>IF($F$4="EOP 1", VLOOKUP(C46&amp;F46&amp;$F$4,'Rebate Reference Table'!$E$5:$J$132,3,FALSE), VLOOKUP(C46&amp;F46&amp;$F$4,'Rebate Reference Table'!$F$5:$J$132,5,FALSE))</f>
        <v>8</v>
      </c>
      <c r="K46" s="205">
        <f t="shared" si="2"/>
        <v>0</v>
      </c>
      <c r="L46" s="137"/>
      <c r="M46" s="173">
        <v>0.6</v>
      </c>
      <c r="N46" s="86">
        <v>1.1000000000000001</v>
      </c>
      <c r="O46" s="82" t="s">
        <v>127</v>
      </c>
      <c r="P46" s="81"/>
      <c r="Q46" s="87" t="str">
        <f>IFERROR((H46*128)/(P46*43.56),"")</f>
        <v/>
      </c>
      <c r="R46" s="158" t="s">
        <v>193</v>
      </c>
      <c r="S46" s="161"/>
    </row>
    <row r="47" spans="1:22" ht="24" customHeight="1" x14ac:dyDescent="0.2">
      <c r="A47" s="163" t="s">
        <v>227</v>
      </c>
      <c r="B47" s="164" t="s">
        <v>227</v>
      </c>
      <c r="C47" s="164" t="s">
        <v>136</v>
      </c>
      <c r="D47" s="164" t="s">
        <v>228</v>
      </c>
      <c r="E47" s="235" t="s">
        <v>136</v>
      </c>
      <c r="F47" s="119" t="s">
        <v>97</v>
      </c>
      <c r="G47" s="74"/>
      <c r="H47" s="77"/>
      <c r="I47" s="120">
        <f t="shared" si="1"/>
        <v>0</v>
      </c>
      <c r="J47" s="121">
        <f>IF($F$4="EOP 1", VLOOKUP(C47&amp;F47&amp;$F$4,'Rebate Reference Table'!$E$5:$J$132,3,FALSE), VLOOKUP(C47&amp;F47&amp;$F$4,'Rebate Reference Table'!$F$5:$J$132,5,FALSE))</f>
        <v>12</v>
      </c>
      <c r="K47" s="204">
        <f t="shared" si="2"/>
        <v>0</v>
      </c>
      <c r="L47" s="137"/>
      <c r="M47" s="172">
        <v>0.18</v>
      </c>
      <c r="N47" s="130">
        <v>0.37</v>
      </c>
      <c r="O47" s="122" t="s">
        <v>127</v>
      </c>
      <c r="P47" s="81"/>
      <c r="Q47" s="132" t="str">
        <f>IFERROR((H47*128)/(P47*43.56),"")</f>
        <v/>
      </c>
      <c r="R47" s="244" t="s">
        <v>138</v>
      </c>
      <c r="S47" s="161"/>
    </row>
    <row r="48" spans="1:22" ht="24" customHeight="1" x14ac:dyDescent="0.2">
      <c r="A48" s="163" t="s">
        <v>227</v>
      </c>
      <c r="B48" s="164" t="s">
        <v>227</v>
      </c>
      <c r="C48" s="164" t="s">
        <v>136</v>
      </c>
      <c r="D48" s="164" t="s">
        <v>228</v>
      </c>
      <c r="E48" s="252"/>
      <c r="F48" s="119" t="s">
        <v>103</v>
      </c>
      <c r="G48" s="74"/>
      <c r="H48" s="77"/>
      <c r="I48" s="120">
        <f t="shared" si="1"/>
        <v>0</v>
      </c>
      <c r="J48" s="121">
        <f>IF($F$4="EOP 1", VLOOKUP(C48&amp;F48&amp;$F$4,'Rebate Reference Table'!$E$5:$J$132,3,FALSE), VLOOKUP(C48&amp;F48&amp;$F$4,'Rebate Reference Table'!$F$5:$J$132,5,FALSE))</f>
        <v>75</v>
      </c>
      <c r="K48" s="204">
        <f t="shared" si="2"/>
        <v>0</v>
      </c>
      <c r="L48" s="137"/>
      <c r="M48" s="172">
        <v>0.18</v>
      </c>
      <c r="N48" s="130">
        <v>0.37</v>
      </c>
      <c r="O48" s="122" t="s">
        <v>127</v>
      </c>
      <c r="P48" s="81"/>
      <c r="Q48" s="123" t="str">
        <f>IFERROR((H48*128)/(P48*43.56),"")</f>
        <v/>
      </c>
      <c r="R48" s="245"/>
      <c r="S48" s="161"/>
    </row>
    <row r="49" spans="1:19" ht="24" customHeight="1" x14ac:dyDescent="0.2">
      <c r="A49" s="163" t="s">
        <v>227</v>
      </c>
      <c r="B49" s="164" t="s">
        <v>227</v>
      </c>
      <c r="C49" s="164" t="s">
        <v>136</v>
      </c>
      <c r="D49" s="164" t="s">
        <v>229</v>
      </c>
      <c r="E49" s="252"/>
      <c r="F49" s="119" t="s">
        <v>271</v>
      </c>
      <c r="G49" s="74"/>
      <c r="H49" s="77"/>
      <c r="I49" s="120">
        <f t="shared" si="1"/>
        <v>0</v>
      </c>
      <c r="J49" s="121">
        <f>IF($F$4="EOP 1", VLOOKUP(C49&amp;F49&amp;$F$4,'Rebate Reference Table'!$E$5:$J$132,4,FALSE), VLOOKUP(C49&amp;F49&amp;$F$4,'Rebate Reference Table'!$F$5:$J$132,5,FALSE))</f>
        <v>110</v>
      </c>
      <c r="K49" s="204">
        <f t="shared" si="2"/>
        <v>0</v>
      </c>
      <c r="L49" s="137"/>
      <c r="M49" s="172">
        <v>0.18</v>
      </c>
      <c r="N49" s="130">
        <v>0.37</v>
      </c>
      <c r="O49" s="122" t="s">
        <v>127</v>
      </c>
      <c r="P49" s="81"/>
      <c r="Q49" s="123" t="str">
        <f>IFERROR((H49*128)/(P49*43.56),"")</f>
        <v/>
      </c>
      <c r="R49" s="245"/>
      <c r="S49" s="161"/>
    </row>
    <row r="50" spans="1:19" ht="24" customHeight="1" x14ac:dyDescent="0.2">
      <c r="A50" s="163" t="s">
        <v>227</v>
      </c>
      <c r="B50" s="164" t="s">
        <v>227</v>
      </c>
      <c r="C50" s="164" t="s">
        <v>136</v>
      </c>
      <c r="D50" s="164" t="s">
        <v>230</v>
      </c>
      <c r="E50" s="252"/>
      <c r="F50" s="119" t="s">
        <v>272</v>
      </c>
      <c r="G50" s="74"/>
      <c r="H50" s="77"/>
      <c r="I50" s="120">
        <f t="shared" si="1"/>
        <v>0</v>
      </c>
      <c r="J50" s="121">
        <f>IF($F$4="EOP 1", VLOOKUP(C50&amp;F50&amp;$F$4,'Rebate Reference Table'!$E$5:$J$132,5,FALSE), VLOOKUP(C50&amp;F50&amp;$F$4,'Rebate Reference Table'!$F$5:$J$132,5,FALSE))</f>
        <v>140</v>
      </c>
      <c r="K50" s="204">
        <f t="shared" si="2"/>
        <v>0</v>
      </c>
      <c r="L50" s="137"/>
      <c r="M50" s="172">
        <v>0.18</v>
      </c>
      <c r="N50" s="130">
        <v>0.37</v>
      </c>
      <c r="O50" s="122" t="s">
        <v>127</v>
      </c>
      <c r="P50" s="81"/>
      <c r="Q50" s="123" t="str">
        <f>IFERROR((H50*128)/(P50*43.56),"")</f>
        <v/>
      </c>
      <c r="R50" s="245"/>
      <c r="S50" s="161"/>
    </row>
    <row r="51" spans="1:19" ht="24" customHeight="1" x14ac:dyDescent="0.2">
      <c r="A51" s="36" t="s">
        <v>227</v>
      </c>
      <c r="B51" s="55"/>
      <c r="C51" s="55" t="s">
        <v>133</v>
      </c>
      <c r="D51" s="55" t="s">
        <v>228</v>
      </c>
      <c r="E51" s="237" t="s">
        <v>133</v>
      </c>
      <c r="F51" s="37" t="s">
        <v>91</v>
      </c>
      <c r="G51" s="74"/>
      <c r="H51" s="77"/>
      <c r="I51" s="78">
        <f t="shared" si="1"/>
        <v>0</v>
      </c>
      <c r="J51" s="79">
        <f>IF($F$4="EOP 1", VLOOKUP(C51&amp;F51&amp;$F$4,'Rebate Reference Table'!$E$5:$J$132,3,FALSE), VLOOKUP(C51&amp;F51&amp;$F$4,'Rebate Reference Table'!$F$5:$J$132,5,FALSE))</f>
        <v>20</v>
      </c>
      <c r="K51" s="205">
        <f t="shared" si="2"/>
        <v>0</v>
      </c>
      <c r="L51" s="137"/>
      <c r="M51" s="173">
        <v>1.3</v>
      </c>
      <c r="N51" s="86">
        <v>1.3</v>
      </c>
      <c r="O51" s="82" t="s">
        <v>127</v>
      </c>
      <c r="P51" s="81"/>
      <c r="Q51" s="83" t="str">
        <f>IFERROR((H51*320)/(P51*43.56),"")</f>
        <v/>
      </c>
      <c r="R51" s="258" t="s">
        <v>165</v>
      </c>
      <c r="S51" s="161"/>
    </row>
    <row r="52" spans="1:19" ht="24" customHeight="1" x14ac:dyDescent="0.2">
      <c r="A52" s="36" t="s">
        <v>227</v>
      </c>
      <c r="B52" s="55"/>
      <c r="C52" s="55" t="s">
        <v>133</v>
      </c>
      <c r="D52" s="55" t="s">
        <v>229</v>
      </c>
      <c r="E52" s="271"/>
      <c r="F52" s="37" t="s">
        <v>265</v>
      </c>
      <c r="G52" s="74"/>
      <c r="H52" s="77"/>
      <c r="I52" s="78">
        <f t="shared" si="1"/>
        <v>0</v>
      </c>
      <c r="J52" s="79">
        <f>IF($F$4="EOP 1", VLOOKUP(C52&amp;F52&amp;$F$4,'Rebate Reference Table'!$E$5:$J$132,4,FALSE), VLOOKUP(C52&amp;F52&amp;$F$4,'Rebate Reference Table'!$F$5:$J$132,5,FALSE))</f>
        <v>55</v>
      </c>
      <c r="K52" s="205">
        <f t="shared" si="2"/>
        <v>0</v>
      </c>
      <c r="L52" s="137"/>
      <c r="M52" s="173">
        <v>1.3</v>
      </c>
      <c r="N52" s="86">
        <v>1.3</v>
      </c>
      <c r="O52" s="82" t="s">
        <v>127</v>
      </c>
      <c r="P52" s="81"/>
      <c r="Q52" s="83" t="str">
        <f>IFERROR((H52*320)/(P52*43.56),"")</f>
        <v/>
      </c>
      <c r="R52" s="255"/>
      <c r="S52" s="161"/>
    </row>
    <row r="53" spans="1:19" ht="24" customHeight="1" x14ac:dyDescent="0.2">
      <c r="A53" s="36" t="s">
        <v>227</v>
      </c>
      <c r="B53" s="55"/>
      <c r="C53" s="55" t="s">
        <v>133</v>
      </c>
      <c r="D53" s="55" t="s">
        <v>230</v>
      </c>
      <c r="E53" s="271"/>
      <c r="F53" s="37" t="s">
        <v>322</v>
      </c>
      <c r="G53" s="74"/>
      <c r="H53" s="77"/>
      <c r="I53" s="78">
        <f t="shared" si="1"/>
        <v>0</v>
      </c>
      <c r="J53" s="79">
        <f>IF($F$4="EOP 1", VLOOKUP(C53&amp;F53&amp;$F$4,'Rebate Reference Table'!$E$5:$J$132,5,FALSE), VLOOKUP(C53&amp;F53&amp;$F$4,'Rebate Reference Table'!$F$5:$J$132,5,FALSE))</f>
        <v>75</v>
      </c>
      <c r="K53" s="205">
        <f t="shared" si="2"/>
        <v>0</v>
      </c>
      <c r="L53" s="137"/>
      <c r="M53" s="173">
        <v>1.3</v>
      </c>
      <c r="N53" s="86">
        <v>1.3</v>
      </c>
      <c r="O53" s="82" t="s">
        <v>127</v>
      </c>
      <c r="P53" s="81"/>
      <c r="Q53" s="83" t="str">
        <f>IFERROR((H53*320)/(P53*43.56),"")</f>
        <v/>
      </c>
      <c r="R53" s="255"/>
      <c r="S53" s="161"/>
    </row>
    <row r="54" spans="1:19" ht="24" customHeight="1" x14ac:dyDescent="0.2">
      <c r="A54" s="36" t="s">
        <v>227</v>
      </c>
      <c r="B54" s="55"/>
      <c r="C54" s="55" t="s">
        <v>133</v>
      </c>
      <c r="D54" s="55" t="s">
        <v>230</v>
      </c>
      <c r="E54" s="238"/>
      <c r="F54" s="37" t="s">
        <v>318</v>
      </c>
      <c r="G54" s="74"/>
      <c r="H54" s="77"/>
      <c r="I54" s="78">
        <f t="shared" si="1"/>
        <v>0</v>
      </c>
      <c r="J54" s="79">
        <f>IF($F$4="EOP 1", VLOOKUP(C54&amp;F54&amp;$F$4,'Rebate Reference Table'!$E$5:$J$132,5,FALSE), VLOOKUP(C54&amp;F54&amp;$F$4,'Rebate Reference Table'!$F$5:$J$132,5,FALSE))</f>
        <v>75</v>
      </c>
      <c r="K54" s="205">
        <f t="shared" si="2"/>
        <v>0</v>
      </c>
      <c r="L54" s="137"/>
      <c r="M54" s="173">
        <v>1.3</v>
      </c>
      <c r="N54" s="86">
        <v>1.3</v>
      </c>
      <c r="O54" s="82" t="s">
        <v>127</v>
      </c>
      <c r="P54" s="81"/>
      <c r="Q54" s="83" t="str">
        <f>IFERROR((H54*320)/(P54*43.56),"")</f>
        <v/>
      </c>
      <c r="R54" s="256"/>
      <c r="S54" s="161"/>
    </row>
    <row r="55" spans="1:19" ht="24" customHeight="1" x14ac:dyDescent="0.2">
      <c r="A55" s="36" t="s">
        <v>227</v>
      </c>
      <c r="B55" s="36"/>
      <c r="C55" s="36" t="s">
        <v>304</v>
      </c>
      <c r="D55" s="36" t="s">
        <v>228</v>
      </c>
      <c r="E55" s="297" t="s">
        <v>304</v>
      </c>
      <c r="F55" s="119" t="s">
        <v>98</v>
      </c>
      <c r="G55" s="74"/>
      <c r="H55" s="77"/>
      <c r="I55" s="120">
        <f t="shared" si="1"/>
        <v>0</v>
      </c>
      <c r="J55" s="121">
        <f>IF($F$4="EOP 1", VLOOKUP(C55&amp;F55&amp;$F$4,'Rebate Reference Table'!$E$5:$J$132,3,FALSE), VLOOKUP(C55&amp;F55&amp;$F$4,'Rebate Reference Table'!$F$5:$J$132,5,FALSE))</f>
        <v>100</v>
      </c>
      <c r="K55" s="204">
        <f t="shared" si="2"/>
        <v>0</v>
      </c>
      <c r="L55" s="137"/>
      <c r="M55" s="172">
        <v>0.25</v>
      </c>
      <c r="N55" s="130">
        <v>0.5</v>
      </c>
      <c r="O55" s="82" t="s">
        <v>127</v>
      </c>
      <c r="P55" s="81"/>
      <c r="Q55" s="83" t="str">
        <f>IFERROR((H55*64)/(P55*43.56),"")</f>
        <v/>
      </c>
      <c r="R55" s="239" t="s">
        <v>324</v>
      </c>
      <c r="S55" s="161"/>
    </row>
    <row r="56" spans="1:19" ht="24" customHeight="1" x14ac:dyDescent="0.2">
      <c r="A56" s="36" t="s">
        <v>227</v>
      </c>
      <c r="B56" s="36"/>
      <c r="C56" s="36" t="s">
        <v>304</v>
      </c>
      <c r="D56" s="36" t="s">
        <v>229</v>
      </c>
      <c r="E56" s="297"/>
      <c r="F56" s="119" t="s">
        <v>306</v>
      </c>
      <c r="G56" s="74"/>
      <c r="H56" s="77"/>
      <c r="I56" s="120">
        <f t="shared" si="1"/>
        <v>0</v>
      </c>
      <c r="J56" s="121">
        <f>IF($F$4="EOP 1", VLOOKUP(C56&amp;F56&amp;$F$4,'Rebate Reference Table'!$E$5:$J$132,4,FALSE), VLOOKUP(C56&amp;F56&amp;$F$4,'Rebate Reference Table'!$F$5:$J$132,5,FALSE))</f>
        <v>150</v>
      </c>
      <c r="K56" s="204">
        <f t="shared" si="2"/>
        <v>0</v>
      </c>
      <c r="L56" s="137"/>
      <c r="M56" s="172">
        <v>0.25</v>
      </c>
      <c r="N56" s="130">
        <v>0.5</v>
      </c>
      <c r="O56" s="82" t="s">
        <v>127</v>
      </c>
      <c r="P56" s="81"/>
      <c r="Q56" s="83" t="str">
        <f>IFERROR((H56*64)/(P56*43.56),"")</f>
        <v/>
      </c>
      <c r="R56" s="240"/>
      <c r="S56" s="161"/>
    </row>
    <row r="57" spans="1:19" ht="24" customHeight="1" thickBot="1" x14ac:dyDescent="0.25">
      <c r="A57" s="56" t="s">
        <v>23</v>
      </c>
      <c r="B57" s="56" t="s">
        <v>23</v>
      </c>
      <c r="C57" s="56"/>
      <c r="D57" s="56" t="s">
        <v>23</v>
      </c>
      <c r="E57" s="136" t="s">
        <v>23</v>
      </c>
      <c r="F57" s="94"/>
      <c r="G57" s="94"/>
      <c r="H57" s="94"/>
      <c r="I57" s="94"/>
      <c r="J57" s="94"/>
      <c r="K57" s="203"/>
      <c r="L57" s="137"/>
      <c r="M57" s="94"/>
      <c r="N57" s="94"/>
      <c r="O57" s="94"/>
      <c r="P57" s="94"/>
      <c r="Q57" s="94"/>
      <c r="R57" s="116"/>
      <c r="S57" s="161"/>
    </row>
    <row r="58" spans="1:19" ht="24" customHeight="1" x14ac:dyDescent="0.2">
      <c r="A58" s="36" t="s">
        <v>227</v>
      </c>
      <c r="B58" s="55"/>
      <c r="C58" s="55" t="s">
        <v>85</v>
      </c>
      <c r="D58" s="55" t="s">
        <v>228</v>
      </c>
      <c r="E58" s="251" t="s">
        <v>85</v>
      </c>
      <c r="F58" s="37" t="s">
        <v>99</v>
      </c>
      <c r="G58" s="76"/>
      <c r="H58" s="77"/>
      <c r="I58" s="78">
        <f t="shared" si="1"/>
        <v>0</v>
      </c>
      <c r="J58" s="79">
        <f>IF($F$4="EOP 1", VLOOKUP(C58&amp;F58&amp;$F$4,'Rebate Reference Table'!$E$5:$J$132,3,FALSE), VLOOKUP(C58&amp;F58&amp;$F$4,'Rebate Reference Table'!$F$5:$J$132,5,FALSE))</f>
        <v>3</v>
      </c>
      <c r="K58" s="205">
        <f t="shared" ref="K58:K98" si="3">H58*J58</f>
        <v>0</v>
      </c>
      <c r="L58" s="137"/>
      <c r="M58" s="171">
        <v>80</v>
      </c>
      <c r="N58" s="82">
        <v>160</v>
      </c>
      <c r="O58" s="82" t="s">
        <v>118</v>
      </c>
      <c r="P58" s="81"/>
      <c r="Q58" s="87" t="str">
        <f>IFERROR(H58*30/P58,"")</f>
        <v/>
      </c>
      <c r="R58" s="260" t="s">
        <v>110</v>
      </c>
      <c r="S58" s="161"/>
    </row>
    <row r="59" spans="1:19" ht="24" customHeight="1" x14ac:dyDescent="0.2">
      <c r="A59" s="36" t="s">
        <v>227</v>
      </c>
      <c r="B59" s="55"/>
      <c r="C59" s="55" t="s">
        <v>85</v>
      </c>
      <c r="D59" s="55" t="s">
        <v>229</v>
      </c>
      <c r="E59" s="238"/>
      <c r="F59" s="37" t="s">
        <v>273</v>
      </c>
      <c r="G59" s="76"/>
      <c r="H59" s="77"/>
      <c r="I59" s="78">
        <f t="shared" si="1"/>
        <v>0</v>
      </c>
      <c r="J59" s="79">
        <f>IF($F$4="EOP 1", VLOOKUP(C59&amp;F59&amp;$F$4,'Rebate Reference Table'!$E$5:$J$132,4,FALSE), VLOOKUP(C59&amp;F59&amp;$F$4,'Rebate Reference Table'!$F$5:$J$132,5,FALSE))</f>
        <v>6</v>
      </c>
      <c r="K59" s="205">
        <f t="shared" si="3"/>
        <v>0</v>
      </c>
      <c r="L59" s="137"/>
      <c r="M59" s="171">
        <v>80</v>
      </c>
      <c r="N59" s="82">
        <v>160</v>
      </c>
      <c r="O59" s="82" t="s">
        <v>118</v>
      </c>
      <c r="P59" s="81"/>
      <c r="Q59" s="87" t="str">
        <f>IFERROR(H59*30/P59,"")</f>
        <v/>
      </c>
      <c r="R59" s="256"/>
      <c r="S59" s="161"/>
    </row>
    <row r="60" spans="1:19" s="35" customFormat="1" ht="24" customHeight="1" x14ac:dyDescent="0.2">
      <c r="A60" s="163" t="s">
        <v>227</v>
      </c>
      <c r="B60" s="164"/>
      <c r="C60" s="164" t="s">
        <v>167</v>
      </c>
      <c r="D60" s="164" t="s">
        <v>228</v>
      </c>
      <c r="E60" s="252" t="s">
        <v>167</v>
      </c>
      <c r="F60" s="118" t="s">
        <v>98</v>
      </c>
      <c r="G60" s="76"/>
      <c r="H60" s="77"/>
      <c r="I60" s="120">
        <f t="shared" si="1"/>
        <v>0</v>
      </c>
      <c r="J60" s="121">
        <f>IF($F$4="EOP 1", VLOOKUP(C60&amp;F60&amp;$F$4,'Rebate Reference Table'!$E$5:$J$132,3,FALSE), VLOOKUP(C60&amp;F60&amp;$F$4,'Rebate Reference Table'!$F$5:$J$132,5,FALSE))</f>
        <v>65</v>
      </c>
      <c r="K60" s="120">
        <f t="shared" si="3"/>
        <v>0</v>
      </c>
      <c r="L60" s="137"/>
      <c r="M60" s="127">
        <v>0.27</v>
      </c>
      <c r="N60" s="122">
        <v>0.54</v>
      </c>
      <c r="O60" s="122" t="s">
        <v>127</v>
      </c>
      <c r="P60" s="81"/>
      <c r="Q60" s="132" t="str">
        <f>IFERROR((H60*64)/(P60*43.56),"")</f>
        <v/>
      </c>
      <c r="R60" s="245" t="s">
        <v>202</v>
      </c>
      <c r="S60" s="162"/>
    </row>
    <row r="61" spans="1:19" ht="24" customHeight="1" x14ac:dyDescent="0.2">
      <c r="A61" s="163" t="s">
        <v>227</v>
      </c>
      <c r="B61" s="164"/>
      <c r="C61" s="164" t="s">
        <v>167</v>
      </c>
      <c r="D61" s="164" t="s">
        <v>229</v>
      </c>
      <c r="E61" s="236"/>
      <c r="F61" s="119" t="s">
        <v>274</v>
      </c>
      <c r="G61" s="76"/>
      <c r="H61" s="77"/>
      <c r="I61" s="120">
        <f t="shared" si="1"/>
        <v>0</v>
      </c>
      <c r="J61" s="121">
        <f>IF($F$4="EOP 1", VLOOKUP(C61&amp;F61&amp;$F$4,'Rebate Reference Table'!$E$5:$J$132,4,FALSE), VLOOKUP(C61&amp;F61&amp;$F$4,'Rebate Reference Table'!$F$5:$J$132,5,FALSE))</f>
        <v>130</v>
      </c>
      <c r="K61" s="120">
        <f t="shared" si="3"/>
        <v>0</v>
      </c>
      <c r="L61" s="137"/>
      <c r="M61" s="127">
        <v>0.27</v>
      </c>
      <c r="N61" s="122">
        <v>0.54</v>
      </c>
      <c r="O61" s="122" t="s">
        <v>127</v>
      </c>
      <c r="P61" s="81"/>
      <c r="Q61" s="132" t="str">
        <f>IFERROR((H61*64)/(P61*43.56),"")</f>
        <v/>
      </c>
      <c r="R61" s="246"/>
      <c r="S61" s="161"/>
    </row>
    <row r="62" spans="1:19" ht="24" customHeight="1" x14ac:dyDescent="0.2">
      <c r="A62" s="36" t="s">
        <v>227</v>
      </c>
      <c r="B62" s="55"/>
      <c r="C62" s="55" t="s">
        <v>170</v>
      </c>
      <c r="D62" s="55" t="s">
        <v>228</v>
      </c>
      <c r="E62" s="237" t="s">
        <v>170</v>
      </c>
      <c r="F62" s="37" t="s">
        <v>98</v>
      </c>
      <c r="G62" s="76"/>
      <c r="H62" s="77"/>
      <c r="I62" s="78">
        <f t="shared" si="1"/>
        <v>0</v>
      </c>
      <c r="J62" s="79">
        <f>IF($F$4="EOP 1", VLOOKUP(C62&amp;F62&amp;$F$4,'Rebate Reference Table'!$E$5:$J$132,3,FALSE), VLOOKUP(C62&amp;F62&amp;$F$4,'Rebate Reference Table'!$F$5:$J$132,5,FALSE))</f>
        <v>65</v>
      </c>
      <c r="K62" s="78">
        <f t="shared" si="3"/>
        <v>0</v>
      </c>
      <c r="L62" s="137"/>
      <c r="M62" s="171">
        <v>0.27</v>
      </c>
      <c r="N62" s="82">
        <v>0.54</v>
      </c>
      <c r="O62" s="82" t="s">
        <v>127</v>
      </c>
      <c r="P62" s="81"/>
      <c r="Q62" s="87" t="str">
        <f>IFERROR((H62*64)/(P62*43.56),"")</f>
        <v/>
      </c>
      <c r="R62" s="258" t="s">
        <v>110</v>
      </c>
      <c r="S62" s="161"/>
    </row>
    <row r="63" spans="1:19" ht="24" customHeight="1" x14ac:dyDescent="0.2">
      <c r="A63" s="36" t="s">
        <v>227</v>
      </c>
      <c r="B63" s="55"/>
      <c r="C63" s="55" t="s">
        <v>170</v>
      </c>
      <c r="D63" s="55" t="s">
        <v>229</v>
      </c>
      <c r="E63" s="238"/>
      <c r="F63" s="37" t="s">
        <v>274</v>
      </c>
      <c r="G63" s="76"/>
      <c r="H63" s="77"/>
      <c r="I63" s="78">
        <f t="shared" si="1"/>
        <v>0</v>
      </c>
      <c r="J63" s="79">
        <f>IF($F$4="EOP 1", VLOOKUP(C63&amp;F63&amp;$F$4,'Rebate Reference Table'!$E$5:$J$132,4,FALSE), VLOOKUP(C63&amp;F63&amp;$F$4,'Rebate Reference Table'!$F$5:$J$132,5,FALSE))</f>
        <v>130</v>
      </c>
      <c r="K63" s="78">
        <f t="shared" si="3"/>
        <v>0</v>
      </c>
      <c r="L63" s="137"/>
      <c r="M63" s="171">
        <v>0.27</v>
      </c>
      <c r="N63" s="82">
        <v>0.54</v>
      </c>
      <c r="O63" s="82" t="s">
        <v>127</v>
      </c>
      <c r="P63" s="81"/>
      <c r="Q63" s="87" t="str">
        <f>IFERROR((H63*64)/(P63*43.56),"")</f>
        <v/>
      </c>
      <c r="R63" s="256"/>
      <c r="S63" s="161"/>
    </row>
    <row r="64" spans="1:19" ht="24" customHeight="1" x14ac:dyDescent="0.2">
      <c r="A64" s="163" t="s">
        <v>227</v>
      </c>
      <c r="B64" s="164"/>
      <c r="C64" s="164" t="s">
        <v>72</v>
      </c>
      <c r="D64" s="164" t="s">
        <v>228</v>
      </c>
      <c r="E64" s="235" t="s">
        <v>72</v>
      </c>
      <c r="F64" s="119" t="s">
        <v>99</v>
      </c>
      <c r="G64" s="76"/>
      <c r="H64" s="77"/>
      <c r="I64" s="120">
        <f t="shared" si="1"/>
        <v>0</v>
      </c>
      <c r="J64" s="121">
        <f>IF($F$4="EOP 1", VLOOKUP(C64&amp;F64&amp;$F$4,'Rebate Reference Table'!$E$5:$J$132,3,FALSE), VLOOKUP(C64&amp;F64&amp;$F$4,'Rebate Reference Table'!$F$5:$J$132,5,FALSE))</f>
        <v>3</v>
      </c>
      <c r="K64" s="204">
        <f t="shared" si="3"/>
        <v>0</v>
      </c>
      <c r="L64" s="137"/>
      <c r="M64" s="172">
        <v>80</v>
      </c>
      <c r="N64" s="130">
        <v>160</v>
      </c>
      <c r="O64" s="122" t="s">
        <v>118</v>
      </c>
      <c r="P64" s="81"/>
      <c r="Q64" s="132" t="str">
        <f>IFERROR(H64*30/P64,"")</f>
        <v/>
      </c>
      <c r="R64" s="244" t="s">
        <v>110</v>
      </c>
      <c r="S64" s="161"/>
    </row>
    <row r="65" spans="1:19" ht="24" customHeight="1" x14ac:dyDescent="0.2">
      <c r="A65" s="163" t="s">
        <v>227</v>
      </c>
      <c r="B65" s="164"/>
      <c r="C65" s="164" t="s">
        <v>72</v>
      </c>
      <c r="D65" s="164" t="s">
        <v>229</v>
      </c>
      <c r="E65" s="236"/>
      <c r="F65" s="119" t="s">
        <v>275</v>
      </c>
      <c r="G65" s="76"/>
      <c r="H65" s="77"/>
      <c r="I65" s="120">
        <f t="shared" si="1"/>
        <v>0</v>
      </c>
      <c r="J65" s="121">
        <f>IF($F$4="EOP 1", VLOOKUP(C65&amp;F65&amp;$F$4,'Rebate Reference Table'!$E$5:$J$132,4,FALSE), VLOOKUP(C65&amp;F65&amp;$F$4,'Rebate Reference Table'!$F$5:$J$132,5,FALSE))</f>
        <v>6</v>
      </c>
      <c r="K65" s="204">
        <f t="shared" si="3"/>
        <v>0</v>
      </c>
      <c r="L65" s="137"/>
      <c r="M65" s="172">
        <v>80</v>
      </c>
      <c r="N65" s="130">
        <v>160</v>
      </c>
      <c r="O65" s="122" t="s">
        <v>118</v>
      </c>
      <c r="P65" s="81"/>
      <c r="Q65" s="132" t="str">
        <f>IFERROR(H65*30/P65,"")</f>
        <v/>
      </c>
      <c r="R65" s="246"/>
      <c r="S65" s="161"/>
    </row>
    <row r="66" spans="1:19" ht="24" customHeight="1" x14ac:dyDescent="0.2">
      <c r="A66" s="36" t="s">
        <v>227</v>
      </c>
      <c r="B66" s="55"/>
      <c r="C66" s="55" t="s">
        <v>73</v>
      </c>
      <c r="D66" s="55" t="s">
        <v>228</v>
      </c>
      <c r="E66" s="237" t="s">
        <v>73</v>
      </c>
      <c r="F66" s="37" t="s">
        <v>100</v>
      </c>
      <c r="G66" s="76"/>
      <c r="H66" s="77"/>
      <c r="I66" s="78">
        <f t="shared" si="1"/>
        <v>0</v>
      </c>
      <c r="J66" s="79">
        <f>IF($F$4="EOP 1", VLOOKUP(C66&amp;F66&amp;$F$4,'Rebate Reference Table'!$E$5:$J$132,3,FALSE), VLOOKUP(C66&amp;F66&amp;$F$4,'Rebate Reference Table'!$F$5:$J$132,5,FALSE))</f>
        <v>50</v>
      </c>
      <c r="K66" s="78">
        <f t="shared" si="3"/>
        <v>0</v>
      </c>
      <c r="L66" s="137"/>
      <c r="M66" s="173">
        <v>6.4</v>
      </c>
      <c r="N66" s="86">
        <v>12.8</v>
      </c>
      <c r="O66" s="82" t="s">
        <v>119</v>
      </c>
      <c r="P66" s="81"/>
      <c r="Q66" s="87" t="str">
        <f>IFERROR(H66*40/P66,"")</f>
        <v/>
      </c>
      <c r="R66" s="258" t="s">
        <v>110</v>
      </c>
      <c r="S66" s="161"/>
    </row>
    <row r="67" spans="1:19" ht="24" customHeight="1" x14ac:dyDescent="0.2">
      <c r="A67" s="36" t="s">
        <v>227</v>
      </c>
      <c r="B67" s="55"/>
      <c r="C67" s="55" t="s">
        <v>73</v>
      </c>
      <c r="D67" s="55" t="s">
        <v>229</v>
      </c>
      <c r="E67" s="238"/>
      <c r="F67" s="37" t="s">
        <v>276</v>
      </c>
      <c r="G67" s="76"/>
      <c r="H67" s="77"/>
      <c r="I67" s="78">
        <f t="shared" si="1"/>
        <v>0</v>
      </c>
      <c r="J67" s="79">
        <f>IF($F$4="EOP 1", VLOOKUP(C67&amp;F67&amp;$F$4,'Rebate Reference Table'!$E$5:$J$132,4,FALSE), VLOOKUP(C67&amp;F67&amp;$F$4,'Rebate Reference Table'!$F$5:$J$132,5,FALSE))</f>
        <v>140</v>
      </c>
      <c r="K67" s="78">
        <f t="shared" si="3"/>
        <v>0</v>
      </c>
      <c r="L67" s="137"/>
      <c r="M67" s="173">
        <v>6.4</v>
      </c>
      <c r="N67" s="86">
        <v>12.8</v>
      </c>
      <c r="O67" s="82" t="s">
        <v>119</v>
      </c>
      <c r="P67" s="81"/>
      <c r="Q67" s="87" t="str">
        <f>IFERROR(H67*40/P67,"")</f>
        <v/>
      </c>
      <c r="R67" s="256"/>
      <c r="S67" s="161"/>
    </row>
    <row r="68" spans="1:19" ht="24" customHeight="1" x14ac:dyDescent="0.2">
      <c r="A68" s="163" t="s">
        <v>227</v>
      </c>
      <c r="B68" s="164" t="s">
        <v>227</v>
      </c>
      <c r="C68" s="164" t="s">
        <v>75</v>
      </c>
      <c r="D68" s="164" t="s">
        <v>228</v>
      </c>
      <c r="E68" s="186" t="s">
        <v>75</v>
      </c>
      <c r="F68" s="119" t="s">
        <v>93</v>
      </c>
      <c r="G68" s="76"/>
      <c r="H68" s="77"/>
      <c r="I68" s="120">
        <f t="shared" si="1"/>
        <v>0</v>
      </c>
      <c r="J68" s="121">
        <f>IF($F$4="EOP 1", VLOOKUP(C68&amp;F68&amp;$F$4,'Rebate Reference Table'!$E$5:$J$132,3,FALSE), VLOOKUP(C68&amp;F68&amp;$F$4,'Rebate Reference Table'!$F$5:$J$132,5,FALSE))</f>
        <v>1</v>
      </c>
      <c r="K68" s="204">
        <f t="shared" si="3"/>
        <v>0</v>
      </c>
      <c r="L68" s="137"/>
      <c r="M68" s="172">
        <v>0.5</v>
      </c>
      <c r="N68" s="130">
        <v>2</v>
      </c>
      <c r="O68" s="122" t="s">
        <v>118</v>
      </c>
      <c r="P68" s="81"/>
      <c r="Q68" s="133" t="str">
        <f>IFERROR(H68/P68,"")</f>
        <v/>
      </c>
      <c r="R68" s="159" t="s">
        <v>174</v>
      </c>
      <c r="S68" s="161"/>
    </row>
    <row r="69" spans="1:19" ht="24" customHeight="1" x14ac:dyDescent="0.2">
      <c r="A69" s="36" t="s">
        <v>227</v>
      </c>
      <c r="B69" s="55" t="s">
        <v>227</v>
      </c>
      <c r="C69" s="55" t="s">
        <v>76</v>
      </c>
      <c r="D69" s="55" t="s">
        <v>228</v>
      </c>
      <c r="E69" s="237" t="s">
        <v>76</v>
      </c>
      <c r="F69" s="37" t="s">
        <v>101</v>
      </c>
      <c r="G69" s="76"/>
      <c r="H69" s="77"/>
      <c r="I69" s="78">
        <f t="shared" si="1"/>
        <v>0</v>
      </c>
      <c r="J69" s="79">
        <f>IF($F$4="EOP 1", VLOOKUP(C69&amp;F69&amp;$F$4,'Rebate Reference Table'!$E$5:$J$132,3,FALSE), VLOOKUP(C69&amp;F69&amp;$F$4,'Rebate Reference Table'!$F$5:$J$132,5,FALSE))</f>
        <v>38</v>
      </c>
      <c r="K69" s="78">
        <f t="shared" si="3"/>
        <v>0</v>
      </c>
      <c r="L69" s="137"/>
      <c r="M69" s="173">
        <v>6</v>
      </c>
      <c r="N69" s="86">
        <v>12</v>
      </c>
      <c r="O69" s="86" t="s">
        <v>120</v>
      </c>
      <c r="P69" s="81"/>
      <c r="Q69" s="88" t="str">
        <f>IFERROR(H69*3200/P69,"")</f>
        <v/>
      </c>
      <c r="R69" s="253"/>
      <c r="S69" s="161"/>
    </row>
    <row r="70" spans="1:19" ht="24" customHeight="1" x14ac:dyDescent="0.2">
      <c r="A70" s="36" t="s">
        <v>227</v>
      </c>
      <c r="B70" s="55" t="s">
        <v>227</v>
      </c>
      <c r="C70" s="55" t="s">
        <v>76</v>
      </c>
      <c r="D70" s="55" t="s">
        <v>229</v>
      </c>
      <c r="E70" s="238"/>
      <c r="F70" s="37" t="s">
        <v>277</v>
      </c>
      <c r="G70" s="76"/>
      <c r="H70" s="77"/>
      <c r="I70" s="78">
        <f t="shared" si="1"/>
        <v>0</v>
      </c>
      <c r="J70" s="79">
        <f>IF($F$4="EOP 1", VLOOKUP(C70&amp;F70&amp;$F$4,'Rebate Reference Table'!$E$5:$J$132,4,FALSE), VLOOKUP(C70&amp;F70&amp;$F$4,'Rebate Reference Table'!$F$5:$J$132,5,FALSE))</f>
        <v>45</v>
      </c>
      <c r="K70" s="78">
        <f t="shared" si="3"/>
        <v>0</v>
      </c>
      <c r="L70" s="137"/>
      <c r="M70" s="173">
        <v>6</v>
      </c>
      <c r="N70" s="86">
        <v>12</v>
      </c>
      <c r="O70" s="86" t="s">
        <v>120</v>
      </c>
      <c r="P70" s="81"/>
      <c r="Q70" s="88" t="str">
        <f>IFERROR(H70*3200/P70,"")</f>
        <v/>
      </c>
      <c r="R70" s="254"/>
      <c r="S70" s="161"/>
    </row>
    <row r="71" spans="1:19" ht="24" customHeight="1" x14ac:dyDescent="0.2">
      <c r="A71" s="163"/>
      <c r="B71" s="164" t="s">
        <v>227</v>
      </c>
      <c r="C71" s="164" t="s">
        <v>89</v>
      </c>
      <c r="D71" s="164" t="s">
        <v>228</v>
      </c>
      <c r="E71" s="235" t="s">
        <v>89</v>
      </c>
      <c r="F71" s="119" t="s">
        <v>97</v>
      </c>
      <c r="G71" s="76"/>
      <c r="H71" s="77"/>
      <c r="I71" s="120">
        <f t="shared" si="1"/>
        <v>0</v>
      </c>
      <c r="J71" s="121">
        <f>IF($F$4="EOP 1", VLOOKUP(C71&amp;F71&amp;$F$4,'Rebate Reference Table'!$E$5:$J$132,3,FALSE), VLOOKUP(C71&amp;F71&amp;$F$4,'Rebate Reference Table'!$F$5:$J$132,5,FALSE))</f>
        <v>20</v>
      </c>
      <c r="K71" s="204">
        <f t="shared" si="3"/>
        <v>0</v>
      </c>
      <c r="L71" s="137"/>
      <c r="M71" s="172">
        <v>2</v>
      </c>
      <c r="N71" s="130">
        <v>4</v>
      </c>
      <c r="O71" s="130" t="s">
        <v>120</v>
      </c>
      <c r="P71" s="81"/>
      <c r="Q71" s="131" t="str">
        <f>IFERROR(H71*1600/P71,"")</f>
        <v/>
      </c>
      <c r="R71" s="244" t="s">
        <v>175</v>
      </c>
      <c r="S71" s="161"/>
    </row>
    <row r="72" spans="1:19" ht="24" customHeight="1" x14ac:dyDescent="0.2">
      <c r="A72" s="163"/>
      <c r="B72" s="164" t="s">
        <v>227</v>
      </c>
      <c r="C72" s="164" t="s">
        <v>89</v>
      </c>
      <c r="D72" s="164" t="s">
        <v>229</v>
      </c>
      <c r="E72" s="236"/>
      <c r="F72" s="119" t="s">
        <v>278</v>
      </c>
      <c r="G72" s="76"/>
      <c r="H72" s="77"/>
      <c r="I72" s="120">
        <f t="shared" si="1"/>
        <v>0</v>
      </c>
      <c r="J72" s="121">
        <f>IF($F$4="EOP 1", VLOOKUP(C72&amp;F72&amp;$F$4,'Rebate Reference Table'!$E$5:$J$132,4,FALSE), VLOOKUP(C72&amp;F72&amp;$F$4,'Rebate Reference Table'!$F$5:$J$132,5,FALSE))</f>
        <v>30</v>
      </c>
      <c r="K72" s="204">
        <f t="shared" si="3"/>
        <v>0</v>
      </c>
      <c r="L72" s="137"/>
      <c r="M72" s="172">
        <v>2</v>
      </c>
      <c r="N72" s="130">
        <v>4</v>
      </c>
      <c r="O72" s="130" t="s">
        <v>120</v>
      </c>
      <c r="P72" s="81"/>
      <c r="Q72" s="131" t="str">
        <f>IFERROR(H72*1600/P72,"")</f>
        <v/>
      </c>
      <c r="R72" s="245"/>
      <c r="S72" s="161"/>
    </row>
    <row r="73" spans="1:19" ht="24" customHeight="1" x14ac:dyDescent="0.2">
      <c r="A73" s="36"/>
      <c r="B73" s="55" t="s">
        <v>227</v>
      </c>
      <c r="C73" s="55" t="s">
        <v>78</v>
      </c>
      <c r="D73" s="55" t="s">
        <v>228</v>
      </c>
      <c r="E73" s="185" t="s">
        <v>78</v>
      </c>
      <c r="F73" s="37" t="s">
        <v>102</v>
      </c>
      <c r="G73" s="76"/>
      <c r="H73" s="77"/>
      <c r="I73" s="78">
        <f t="shared" si="1"/>
        <v>0</v>
      </c>
      <c r="J73" s="79">
        <f>IF($F$4="EOP 1", VLOOKUP(C73&amp;F73&amp;$F$4,'Rebate Reference Table'!$E$5:$J$132,3,FALSE), VLOOKUP(C73&amp;F73&amp;$F$4,'Rebate Reference Table'!$F$5:$J$132,5,FALSE))</f>
        <v>16</v>
      </c>
      <c r="K73" s="78">
        <f t="shared" si="3"/>
        <v>0</v>
      </c>
      <c r="L73" s="137"/>
      <c r="M73" s="173">
        <v>3.2</v>
      </c>
      <c r="N73" s="86">
        <v>26</v>
      </c>
      <c r="O73" s="86" t="s">
        <v>121</v>
      </c>
      <c r="P73" s="81"/>
      <c r="Q73" s="88" t="str">
        <f>IFERROR(H73*25600/P73,"")</f>
        <v/>
      </c>
      <c r="R73" s="158"/>
      <c r="S73" s="161"/>
    </row>
    <row r="74" spans="1:19" ht="24" customHeight="1" x14ac:dyDescent="0.2">
      <c r="A74" s="163" t="s">
        <v>227</v>
      </c>
      <c r="B74" s="164" t="s">
        <v>227</v>
      </c>
      <c r="C74" s="164" t="s">
        <v>84</v>
      </c>
      <c r="D74" s="164" t="s">
        <v>228</v>
      </c>
      <c r="E74" s="235" t="s">
        <v>84</v>
      </c>
      <c r="F74" s="119" t="s">
        <v>101</v>
      </c>
      <c r="G74" s="76"/>
      <c r="H74" s="77"/>
      <c r="I74" s="120">
        <f t="shared" si="1"/>
        <v>0</v>
      </c>
      <c r="J74" s="121">
        <f>IF($F$4="EOP 1", VLOOKUP(C74&amp;F74&amp;$F$4,'Rebate Reference Table'!$E$5:$J$132,3,FALSE), VLOOKUP(C74&amp;F74&amp;$F$4,'Rebate Reference Table'!$F$5:$J$132,5,FALSE))</f>
        <v>5</v>
      </c>
      <c r="K74" s="204">
        <f t="shared" si="3"/>
        <v>0</v>
      </c>
      <c r="L74" s="137"/>
      <c r="M74" s="172">
        <v>4</v>
      </c>
      <c r="N74" s="130">
        <v>8</v>
      </c>
      <c r="O74" s="130" t="s">
        <v>120</v>
      </c>
      <c r="P74" s="81"/>
      <c r="Q74" s="131" t="str">
        <f>IFERROR(H74*3200/P74,"")</f>
        <v/>
      </c>
      <c r="R74" s="244" t="s">
        <v>203</v>
      </c>
      <c r="S74" s="161"/>
    </row>
    <row r="75" spans="1:19" ht="24" customHeight="1" x14ac:dyDescent="0.2">
      <c r="A75" s="163" t="s">
        <v>227</v>
      </c>
      <c r="B75" s="164" t="s">
        <v>227</v>
      </c>
      <c r="C75" s="164" t="s">
        <v>84</v>
      </c>
      <c r="D75" s="164" t="s">
        <v>228</v>
      </c>
      <c r="E75" s="252"/>
      <c r="F75" s="119" t="s">
        <v>103</v>
      </c>
      <c r="G75" s="76"/>
      <c r="H75" s="77"/>
      <c r="I75" s="120">
        <f t="shared" si="1"/>
        <v>0</v>
      </c>
      <c r="J75" s="121">
        <f>IF($F$4="EOP 1", VLOOKUP(C75&amp;F75&amp;$F$4,'Rebate Reference Table'!$E$5:$J$132,3,FALSE), VLOOKUP(C75&amp;F75&amp;$F$4,'Rebate Reference Table'!$F$5:$J$132,5,FALSE))</f>
        <v>20</v>
      </c>
      <c r="K75" s="204">
        <f t="shared" si="3"/>
        <v>0</v>
      </c>
      <c r="L75" s="137"/>
      <c r="M75" s="172">
        <v>4</v>
      </c>
      <c r="N75" s="130">
        <v>8</v>
      </c>
      <c r="O75" s="130" t="s">
        <v>120</v>
      </c>
      <c r="P75" s="81"/>
      <c r="Q75" s="131" t="str">
        <f>IFERROR(H75*12800/P75,"")</f>
        <v/>
      </c>
      <c r="R75" s="245"/>
      <c r="S75" s="161"/>
    </row>
    <row r="76" spans="1:19" ht="24" customHeight="1" x14ac:dyDescent="0.2">
      <c r="A76" s="163" t="s">
        <v>227</v>
      </c>
      <c r="B76" s="164" t="s">
        <v>227</v>
      </c>
      <c r="C76" s="164" t="s">
        <v>84</v>
      </c>
      <c r="D76" s="164" t="s">
        <v>229</v>
      </c>
      <c r="E76" s="252"/>
      <c r="F76" s="119" t="s">
        <v>271</v>
      </c>
      <c r="G76" s="76"/>
      <c r="H76" s="77"/>
      <c r="I76" s="120">
        <f t="shared" si="1"/>
        <v>0</v>
      </c>
      <c r="J76" s="121">
        <f>IF($F$4="EOP 1", VLOOKUP(C76&amp;F76&amp;$F$4,'Rebate Reference Table'!$E$5:$J$132,4,FALSE), VLOOKUP(C76&amp;F76&amp;$F$4,'Rebate Reference Table'!$F$5:$J$132,5,FALSE))</f>
        <v>40</v>
      </c>
      <c r="K76" s="204">
        <f t="shared" si="3"/>
        <v>0</v>
      </c>
      <c r="L76" s="137"/>
      <c r="M76" s="172">
        <v>4</v>
      </c>
      <c r="N76" s="130">
        <v>8</v>
      </c>
      <c r="O76" s="130" t="s">
        <v>120</v>
      </c>
      <c r="P76" s="81"/>
      <c r="Q76" s="131" t="str">
        <f>IFERROR(H76*12800/P76,"")</f>
        <v/>
      </c>
      <c r="R76" s="246"/>
      <c r="S76" s="161"/>
    </row>
    <row r="77" spans="1:19" ht="24" customHeight="1" x14ac:dyDescent="0.2">
      <c r="A77" s="36" t="s">
        <v>227</v>
      </c>
      <c r="B77" s="55" t="s">
        <v>227</v>
      </c>
      <c r="C77" s="55" t="s">
        <v>214</v>
      </c>
      <c r="D77" s="55" t="s">
        <v>228</v>
      </c>
      <c r="E77" s="250" t="s">
        <v>214</v>
      </c>
      <c r="F77" s="37" t="s">
        <v>101</v>
      </c>
      <c r="G77" s="76"/>
      <c r="H77" s="77"/>
      <c r="I77" s="78">
        <f t="shared" si="1"/>
        <v>0</v>
      </c>
      <c r="J77" s="79">
        <f>IF($F$4="EOP 1", VLOOKUP(C77&amp;F77&amp;$F$4,'Rebate Reference Table'!$E$5:$J$132,3,FALSE), VLOOKUP(C77&amp;F77&amp;$F$4,'Rebate Reference Table'!$F$5:$J$132,5,FALSE))</f>
        <v>120</v>
      </c>
      <c r="K77" s="205">
        <f t="shared" si="3"/>
        <v>0</v>
      </c>
      <c r="L77" s="137"/>
      <c r="M77" s="173">
        <v>2</v>
      </c>
      <c r="N77" s="86">
        <v>20</v>
      </c>
      <c r="O77" s="82" t="s">
        <v>137</v>
      </c>
      <c r="P77" s="81"/>
      <c r="Q77" s="87" t="str">
        <f>IFERROR(H77*32/P77,"")</f>
        <v/>
      </c>
      <c r="R77" s="255" t="s">
        <v>325</v>
      </c>
      <c r="S77" s="161"/>
    </row>
    <row r="78" spans="1:19" ht="24" customHeight="1" x14ac:dyDescent="0.2">
      <c r="A78" s="36" t="s">
        <v>227</v>
      </c>
      <c r="B78" s="55" t="s">
        <v>227</v>
      </c>
      <c r="C78" s="55" t="s">
        <v>214</v>
      </c>
      <c r="D78" s="55" t="s">
        <v>229</v>
      </c>
      <c r="E78" s="250"/>
      <c r="F78" s="37" t="s">
        <v>277</v>
      </c>
      <c r="G78" s="76"/>
      <c r="H78" s="77"/>
      <c r="I78" s="78">
        <f t="shared" si="1"/>
        <v>0</v>
      </c>
      <c r="J78" s="79">
        <f>IF($F$4="EOP 1", VLOOKUP(C78&amp;F78&amp;$F$4,'Rebate Reference Table'!$E$5:$J$132,4,FALSE), VLOOKUP(C78&amp;F78&amp;$F$4,'Rebate Reference Table'!$F$5:$J$132,5,FALSE))</f>
        <v>140</v>
      </c>
      <c r="K78" s="205">
        <f t="shared" si="3"/>
        <v>0</v>
      </c>
      <c r="L78" s="137"/>
      <c r="M78" s="173">
        <v>2</v>
      </c>
      <c r="N78" s="86">
        <v>20</v>
      </c>
      <c r="O78" s="82" t="s">
        <v>137</v>
      </c>
      <c r="P78" s="81"/>
      <c r="Q78" s="87" t="str">
        <f>IFERROR(H78*32/P78,"")</f>
        <v/>
      </c>
      <c r="R78" s="255"/>
      <c r="S78" s="161"/>
    </row>
    <row r="79" spans="1:19" ht="24" customHeight="1" x14ac:dyDescent="0.2">
      <c r="A79" s="36" t="s">
        <v>227</v>
      </c>
      <c r="B79" s="55" t="s">
        <v>227</v>
      </c>
      <c r="C79" s="55" t="s">
        <v>214</v>
      </c>
      <c r="D79" s="55" t="s">
        <v>228</v>
      </c>
      <c r="E79" s="250"/>
      <c r="F79" s="37" t="s">
        <v>103</v>
      </c>
      <c r="G79" s="76"/>
      <c r="H79" s="77"/>
      <c r="I79" s="78">
        <f t="shared" si="1"/>
        <v>0</v>
      </c>
      <c r="J79" s="79">
        <f>IF($F$4="EOP 1", VLOOKUP(C79&amp;F79&amp;$F$4,'Rebate Reference Table'!$E$5:$J$132,3,FALSE), VLOOKUP(C79&amp;F79&amp;$F$4,'Rebate Reference Table'!$F$5:$J$132,5,FALSE))</f>
        <v>450</v>
      </c>
      <c r="K79" s="205">
        <f t="shared" si="3"/>
        <v>0</v>
      </c>
      <c r="L79" s="137"/>
      <c r="M79" s="173">
        <v>2</v>
      </c>
      <c r="N79" s="86">
        <v>20</v>
      </c>
      <c r="O79" s="82" t="s">
        <v>137</v>
      </c>
      <c r="P79" s="81"/>
      <c r="Q79" s="87" t="str">
        <f>IFERROR(H79*128/P79,"")</f>
        <v/>
      </c>
      <c r="R79" s="255"/>
      <c r="S79" s="161"/>
    </row>
    <row r="80" spans="1:19" ht="24" customHeight="1" x14ac:dyDescent="0.2">
      <c r="A80" s="36" t="s">
        <v>227</v>
      </c>
      <c r="B80" s="55" t="s">
        <v>227</v>
      </c>
      <c r="C80" s="55" t="s">
        <v>214</v>
      </c>
      <c r="D80" s="55" t="s">
        <v>229</v>
      </c>
      <c r="E80" s="250"/>
      <c r="F80" s="37" t="s">
        <v>279</v>
      </c>
      <c r="G80" s="76"/>
      <c r="H80" s="77"/>
      <c r="I80" s="78">
        <f t="shared" si="1"/>
        <v>0</v>
      </c>
      <c r="J80" s="79">
        <f>IF($F$4="EOP 1", VLOOKUP(C80&amp;F80&amp;$F$4,'Rebate Reference Table'!$E$5:$J$132,4,FALSE), VLOOKUP(C80&amp;F80&amp;$F$4,'Rebate Reference Table'!$F$5:$J$132,5,FALSE))</f>
        <v>575</v>
      </c>
      <c r="K80" s="205">
        <f t="shared" si="3"/>
        <v>0</v>
      </c>
      <c r="L80" s="137"/>
      <c r="M80" s="173">
        <v>2</v>
      </c>
      <c r="N80" s="86">
        <v>20</v>
      </c>
      <c r="O80" s="82" t="s">
        <v>137</v>
      </c>
      <c r="P80" s="81"/>
      <c r="Q80" s="87" t="str">
        <f>IFERROR(H80*128/P80,"")</f>
        <v/>
      </c>
      <c r="R80" s="255"/>
      <c r="S80" s="161"/>
    </row>
    <row r="81" spans="1:22" ht="24" customHeight="1" x14ac:dyDescent="0.2">
      <c r="A81" s="36" t="s">
        <v>227</v>
      </c>
      <c r="B81" s="55" t="s">
        <v>227</v>
      </c>
      <c r="C81" s="55" t="s">
        <v>214</v>
      </c>
      <c r="D81" s="55" t="s">
        <v>230</v>
      </c>
      <c r="E81" s="250"/>
      <c r="F81" s="37" t="s">
        <v>280</v>
      </c>
      <c r="G81" s="76"/>
      <c r="H81" s="77"/>
      <c r="I81" s="78">
        <f t="shared" si="1"/>
        <v>0</v>
      </c>
      <c r="J81" s="79">
        <f>IF($F$4="EOP 1", VLOOKUP(C81&amp;F81&amp;$F$4,'Rebate Reference Table'!$E$5:$J$132,5,FALSE), VLOOKUP(C81&amp;F81&amp;$F$4,'Rebate Reference Table'!$F$5:$J$132,5,FALSE))</f>
        <v>575</v>
      </c>
      <c r="K81" s="205">
        <f t="shared" si="3"/>
        <v>0</v>
      </c>
      <c r="L81" s="137"/>
      <c r="M81" s="173">
        <v>2</v>
      </c>
      <c r="N81" s="86">
        <v>20</v>
      </c>
      <c r="O81" s="82" t="s">
        <v>137</v>
      </c>
      <c r="P81" s="81"/>
      <c r="Q81" s="87" t="str">
        <f>IFERROR(H81*128/P81,"")</f>
        <v/>
      </c>
      <c r="R81" s="256"/>
      <c r="S81" s="161"/>
    </row>
    <row r="82" spans="1:22" ht="24" customHeight="1" x14ac:dyDescent="0.2">
      <c r="A82" s="163" t="s">
        <v>227</v>
      </c>
      <c r="B82" s="164" t="s">
        <v>227</v>
      </c>
      <c r="C82" s="164" t="s">
        <v>347</v>
      </c>
      <c r="D82" s="164" t="s">
        <v>228</v>
      </c>
      <c r="E82" s="235" t="s">
        <v>349</v>
      </c>
      <c r="F82" s="119" t="s">
        <v>98</v>
      </c>
      <c r="G82" s="76"/>
      <c r="H82" s="77"/>
      <c r="I82" s="120">
        <f t="shared" ref="I82" si="4">G82*H82</f>
        <v>0</v>
      </c>
      <c r="J82" s="121">
        <f>IF($F$4="EOP 1", VLOOKUP(C82&amp;F82&amp;$F$4,'Rebate Reference Table'!$E$5:$J$132,3,FALSE), VLOOKUP(C82&amp;F82&amp;$F$4,'Rebate Reference Table'!$F$5:$J$132,5,FALSE))</f>
        <v>35</v>
      </c>
      <c r="K82" s="120">
        <f t="shared" si="3"/>
        <v>0</v>
      </c>
      <c r="L82" s="137"/>
      <c r="M82" s="127">
        <v>4</v>
      </c>
      <c r="N82" s="122">
        <v>32</v>
      </c>
      <c r="O82" s="122" t="s">
        <v>137</v>
      </c>
      <c r="P82" s="81"/>
      <c r="Q82" s="132" t="str">
        <f>IFERROR(H82*64/P82,"")</f>
        <v/>
      </c>
      <c r="R82" s="239" t="s">
        <v>351</v>
      </c>
      <c r="S82" s="161"/>
    </row>
    <row r="83" spans="1:22" ht="24" customHeight="1" x14ac:dyDescent="0.2">
      <c r="A83" s="163" t="s">
        <v>227</v>
      </c>
      <c r="B83" s="164" t="s">
        <v>227</v>
      </c>
      <c r="C83" s="164" t="s">
        <v>347</v>
      </c>
      <c r="D83" s="164" t="s">
        <v>228</v>
      </c>
      <c r="E83" s="236"/>
      <c r="F83" s="119" t="s">
        <v>91</v>
      </c>
      <c r="G83" s="76"/>
      <c r="H83" s="77"/>
      <c r="I83" s="120">
        <f t="shared" ref="I83:I84" si="5">G83*H83</f>
        <v>0</v>
      </c>
      <c r="J83" s="121">
        <f>IF($F$4="EOP 1", VLOOKUP(C83&amp;F83&amp;$F$4,'Rebate Reference Table'!$E$5:$J$132,3,FALSE), VLOOKUP(C83&amp;F83&amp;$F$4,'Rebate Reference Table'!$F$5:$J$132,5,FALSE))</f>
        <v>175</v>
      </c>
      <c r="K83" s="120">
        <f t="shared" ref="K83:K84" si="6">H83*J83</f>
        <v>0</v>
      </c>
      <c r="L83" s="137"/>
      <c r="M83" s="127">
        <v>4</v>
      </c>
      <c r="N83" s="122">
        <v>32</v>
      </c>
      <c r="O83" s="122" t="s">
        <v>137</v>
      </c>
      <c r="P83" s="81"/>
      <c r="Q83" s="123" t="str">
        <f>IFERROR(H83*320/P83,"")</f>
        <v/>
      </c>
      <c r="R83" s="240"/>
      <c r="S83" s="161"/>
    </row>
    <row r="84" spans="1:22" ht="24" customHeight="1" x14ac:dyDescent="0.2">
      <c r="A84" s="36" t="s">
        <v>227</v>
      </c>
      <c r="B84" s="55" t="s">
        <v>227</v>
      </c>
      <c r="C84" s="55" t="s">
        <v>348</v>
      </c>
      <c r="D84" s="55" t="s">
        <v>228</v>
      </c>
      <c r="E84" s="237" t="s">
        <v>350</v>
      </c>
      <c r="F84" s="37" t="s">
        <v>98</v>
      </c>
      <c r="G84" s="76"/>
      <c r="H84" s="77"/>
      <c r="I84" s="78">
        <f t="shared" si="5"/>
        <v>0</v>
      </c>
      <c r="J84" s="79">
        <f>IF($F$4="EOP 1", VLOOKUP(C84&amp;F84&amp;$F$4,'Rebate Reference Table'!$E$5:$J$132,3,FALSE), VLOOKUP(C84&amp;F84&amp;$F$4,'Rebate Reference Table'!$F$5:$J$132,5,FALSE))</f>
        <v>35</v>
      </c>
      <c r="K84" s="78">
        <f t="shared" si="6"/>
        <v>0</v>
      </c>
      <c r="L84" s="137"/>
      <c r="M84" s="171">
        <v>4</v>
      </c>
      <c r="N84" s="82">
        <v>32</v>
      </c>
      <c r="O84" s="82" t="s">
        <v>137</v>
      </c>
      <c r="P84" s="81"/>
      <c r="Q84" s="87" t="str">
        <f>IFERROR(H84*64/P84,"")</f>
        <v/>
      </c>
      <c r="R84" s="241" t="s">
        <v>352</v>
      </c>
      <c r="S84" s="161"/>
    </row>
    <row r="85" spans="1:22" ht="24" customHeight="1" x14ac:dyDescent="0.2">
      <c r="A85" s="36" t="s">
        <v>227</v>
      </c>
      <c r="B85" s="55" t="s">
        <v>227</v>
      </c>
      <c r="C85" s="55" t="s">
        <v>348</v>
      </c>
      <c r="D85" s="55" t="s">
        <v>228</v>
      </c>
      <c r="E85" s="238"/>
      <c r="F85" s="37" t="s">
        <v>91</v>
      </c>
      <c r="G85" s="76"/>
      <c r="H85" s="77"/>
      <c r="I85" s="78">
        <f t="shared" ref="I85" si="7">G85*H85</f>
        <v>0</v>
      </c>
      <c r="J85" s="79">
        <f>IF($F$4="EOP 1", VLOOKUP(C85&amp;F85&amp;$F$4,'Rebate Reference Table'!$E$5:$J$132,3,FALSE), VLOOKUP(C85&amp;F85&amp;$F$4,'Rebate Reference Table'!$F$5:$J$132,5,FALSE))</f>
        <v>175</v>
      </c>
      <c r="K85" s="78">
        <f t="shared" ref="K85" si="8">H85*J85</f>
        <v>0</v>
      </c>
      <c r="L85" s="187"/>
      <c r="M85" s="171">
        <v>4</v>
      </c>
      <c r="N85" s="82">
        <v>32</v>
      </c>
      <c r="O85" s="82" t="s">
        <v>137</v>
      </c>
      <c r="P85" s="81"/>
      <c r="Q85" s="83" t="str">
        <f>IFERROR(H85*320/P85,"")</f>
        <v/>
      </c>
      <c r="R85" s="242"/>
      <c r="S85" s="192"/>
      <c r="T85" s="193"/>
      <c r="U85" s="193"/>
      <c r="V85" s="193"/>
    </row>
    <row r="86" spans="1:22" ht="24" customHeight="1" x14ac:dyDescent="0.2">
      <c r="A86" s="165"/>
      <c r="B86" s="166" t="s">
        <v>227</v>
      </c>
      <c r="C86" s="166" t="s">
        <v>79</v>
      </c>
      <c r="D86" s="166" t="s">
        <v>228</v>
      </c>
      <c r="E86" s="184" t="s">
        <v>79</v>
      </c>
      <c r="F86" s="118" t="s">
        <v>93</v>
      </c>
      <c r="G86" s="74"/>
      <c r="H86" s="75"/>
      <c r="I86" s="120">
        <f t="shared" ref="I86:I98" si="9">G86*H86</f>
        <v>0</v>
      </c>
      <c r="J86" s="121">
        <f>IF($F$4="EOP 1", VLOOKUP(C86&amp;F86&amp;$F$4,'Rebate Reference Table'!$E$5:$J$132,3,FALSE), VLOOKUP(C86&amp;F86&amp;$F$4,'Rebate Reference Table'!$F$5:$J$132,5,FALSE))</f>
        <v>6</v>
      </c>
      <c r="K86" s="120">
        <f t="shared" si="3"/>
        <v>0</v>
      </c>
      <c r="L86" s="137"/>
      <c r="M86" s="127">
        <v>8</v>
      </c>
      <c r="N86" s="122">
        <v>8</v>
      </c>
      <c r="O86" s="122" t="s">
        <v>121</v>
      </c>
      <c r="P86" s="80"/>
      <c r="Q86" s="234" t="str">
        <f>IFERROR(H86*1600/P86,"")</f>
        <v/>
      </c>
      <c r="R86" s="194"/>
      <c r="S86" s="161"/>
    </row>
    <row r="87" spans="1:22" ht="24" customHeight="1" x14ac:dyDescent="0.2">
      <c r="A87" s="36" t="s">
        <v>227</v>
      </c>
      <c r="B87" s="55" t="s">
        <v>227</v>
      </c>
      <c r="C87" s="55" t="s">
        <v>80</v>
      </c>
      <c r="D87" s="55" t="s">
        <v>228</v>
      </c>
      <c r="E87" s="237" t="s">
        <v>80</v>
      </c>
      <c r="F87" s="37" t="s">
        <v>104</v>
      </c>
      <c r="G87" s="76"/>
      <c r="H87" s="77"/>
      <c r="I87" s="78">
        <f t="shared" si="9"/>
        <v>0</v>
      </c>
      <c r="J87" s="79">
        <f>IF($F$4="EOP 1", VLOOKUP(C87&amp;F87&amp;$F$4,'Rebate Reference Table'!$E$5:$J$132,3,FALSE), VLOOKUP(C87&amp;F87&amp;$F$4,'Rebate Reference Table'!$F$5:$J$132,5,FALSE))</f>
        <v>10</v>
      </c>
      <c r="K87" s="205">
        <f t="shared" si="3"/>
        <v>0</v>
      </c>
      <c r="L87" s="137"/>
      <c r="M87" s="173">
        <v>3.5</v>
      </c>
      <c r="N87" s="86">
        <v>8</v>
      </c>
      <c r="O87" s="86" t="s">
        <v>121</v>
      </c>
      <c r="P87" s="81"/>
      <c r="Q87" s="88" t="str">
        <f>IFERROR(H87*1200/P87,"")</f>
        <v/>
      </c>
      <c r="R87" s="258" t="s">
        <v>126</v>
      </c>
      <c r="S87" s="161"/>
    </row>
    <row r="88" spans="1:22" ht="24" customHeight="1" x14ac:dyDescent="0.2">
      <c r="A88" s="36" t="s">
        <v>227</v>
      </c>
      <c r="B88" s="55" t="s">
        <v>227</v>
      </c>
      <c r="C88" s="55" t="s">
        <v>80</v>
      </c>
      <c r="D88" s="55" t="s">
        <v>228</v>
      </c>
      <c r="E88" s="271"/>
      <c r="F88" s="37" t="s">
        <v>115</v>
      </c>
      <c r="G88" s="76"/>
      <c r="H88" s="77"/>
      <c r="I88" s="78">
        <f t="shared" si="9"/>
        <v>0</v>
      </c>
      <c r="J88" s="79">
        <f>IF($F$4="EOP 1", VLOOKUP(C88&amp;F88&amp;$F$4,'Rebate Reference Table'!$E$5:$J$132,3,FALSE), VLOOKUP(C88&amp;F88&amp;$F$4,'Rebate Reference Table'!$F$5:$J$132,5,FALSE))</f>
        <v>15</v>
      </c>
      <c r="K88" s="205">
        <f t="shared" si="3"/>
        <v>0</v>
      </c>
      <c r="L88" s="137"/>
      <c r="M88" s="173">
        <v>3.5</v>
      </c>
      <c r="N88" s="86">
        <v>8</v>
      </c>
      <c r="O88" s="86" t="s">
        <v>121</v>
      </c>
      <c r="P88" s="81"/>
      <c r="Q88" s="88" t="str">
        <f>IFERROR(H88*4800/P88,"")</f>
        <v/>
      </c>
      <c r="R88" s="255"/>
      <c r="S88" s="161"/>
    </row>
    <row r="89" spans="1:22" ht="24" customHeight="1" x14ac:dyDescent="0.2">
      <c r="A89" s="36" t="s">
        <v>227</v>
      </c>
      <c r="B89" s="55" t="s">
        <v>227</v>
      </c>
      <c r="C89" s="55" t="s">
        <v>80</v>
      </c>
      <c r="D89" s="55" t="s">
        <v>229</v>
      </c>
      <c r="E89" s="238"/>
      <c r="F89" s="37" t="s">
        <v>281</v>
      </c>
      <c r="G89" s="76"/>
      <c r="H89" s="77"/>
      <c r="I89" s="78">
        <f t="shared" si="9"/>
        <v>0</v>
      </c>
      <c r="J89" s="79">
        <f>IF($F$4="EOP 1", VLOOKUP(C89&amp;F89&amp;$F$4,'Rebate Reference Table'!$E$5:$J$132,4,FALSE), VLOOKUP(C89&amp;F89&amp;$F$4,'Rebate Reference Table'!$F$5:$J$132,5,FALSE))</f>
        <v>25</v>
      </c>
      <c r="K89" s="205">
        <f t="shared" si="3"/>
        <v>0</v>
      </c>
      <c r="L89" s="137"/>
      <c r="M89" s="173">
        <v>3.5</v>
      </c>
      <c r="N89" s="86">
        <v>8</v>
      </c>
      <c r="O89" s="86" t="s">
        <v>121</v>
      </c>
      <c r="P89" s="81"/>
      <c r="Q89" s="88" t="str">
        <f>IFERROR(H89*4800/P89,"")</f>
        <v/>
      </c>
      <c r="R89" s="256"/>
      <c r="S89" s="161"/>
    </row>
    <row r="90" spans="1:22" ht="24" customHeight="1" x14ac:dyDescent="0.2">
      <c r="A90" s="164" t="s">
        <v>227</v>
      </c>
      <c r="B90" s="164" t="s">
        <v>227</v>
      </c>
      <c r="C90" s="164" t="s">
        <v>303</v>
      </c>
      <c r="D90" s="164" t="s">
        <v>228</v>
      </c>
      <c r="E90" s="235" t="s">
        <v>303</v>
      </c>
      <c r="F90" s="119" t="s">
        <v>101</v>
      </c>
      <c r="G90" s="76"/>
      <c r="H90" s="77"/>
      <c r="I90" s="120">
        <f t="shared" si="9"/>
        <v>0</v>
      </c>
      <c r="J90" s="121">
        <f>IF($F$4="EOP 1", VLOOKUP(C90&amp;F90&amp;$F$4,'Rebate Reference Table'!$E$5:$J$132,3,FALSE), VLOOKUP(C90&amp;F90&amp;$F$4,'Rebate Reference Table'!$F$5:$J$132,5,FALSE))</f>
        <v>15</v>
      </c>
      <c r="K90" s="204">
        <f t="shared" si="3"/>
        <v>0</v>
      </c>
      <c r="L90" s="137"/>
      <c r="M90" s="172">
        <v>3</v>
      </c>
      <c r="N90" s="130">
        <v>11</v>
      </c>
      <c r="O90" s="130" t="s">
        <v>121</v>
      </c>
      <c r="P90" s="81"/>
      <c r="Q90" s="131" t="str">
        <f>IFERROR(H90*3200/P90,"")</f>
        <v/>
      </c>
      <c r="R90" s="244" t="s">
        <v>326</v>
      </c>
      <c r="S90" s="161"/>
    </row>
    <row r="91" spans="1:22" ht="24" customHeight="1" x14ac:dyDescent="0.2">
      <c r="A91" s="164" t="s">
        <v>227</v>
      </c>
      <c r="B91" s="164" t="s">
        <v>227</v>
      </c>
      <c r="C91" s="164" t="s">
        <v>303</v>
      </c>
      <c r="D91" s="164" t="s">
        <v>228</v>
      </c>
      <c r="E91" s="252"/>
      <c r="F91" s="119" t="s">
        <v>103</v>
      </c>
      <c r="G91" s="76"/>
      <c r="H91" s="77"/>
      <c r="I91" s="120">
        <f t="shared" si="9"/>
        <v>0</v>
      </c>
      <c r="J91" s="121">
        <f>IF($F$4="EOP 1", VLOOKUP(C91&amp;F91&amp;$F$4,'Rebate Reference Table'!$E$5:$J$132,3,FALSE), VLOOKUP(C91&amp;F91&amp;$F$4,'Rebate Reference Table'!$F$5:$J$132,5,FALSE))</f>
        <v>60</v>
      </c>
      <c r="K91" s="204">
        <f t="shared" si="3"/>
        <v>0</v>
      </c>
      <c r="L91" s="137"/>
      <c r="M91" s="172">
        <v>3</v>
      </c>
      <c r="N91" s="130">
        <v>11</v>
      </c>
      <c r="O91" s="130" t="s">
        <v>121</v>
      </c>
      <c r="P91" s="81"/>
      <c r="Q91" s="131" t="str">
        <f>IFERROR(H91*12800/P91,"")</f>
        <v/>
      </c>
      <c r="R91" s="245"/>
      <c r="S91" s="161"/>
    </row>
    <row r="92" spans="1:22" ht="24" customHeight="1" x14ac:dyDescent="0.2">
      <c r="A92" s="164" t="s">
        <v>227</v>
      </c>
      <c r="B92" s="164" t="s">
        <v>227</v>
      </c>
      <c r="C92" s="164" t="s">
        <v>303</v>
      </c>
      <c r="D92" s="164" t="s">
        <v>229</v>
      </c>
      <c r="E92" s="236"/>
      <c r="F92" s="119" t="s">
        <v>279</v>
      </c>
      <c r="G92" s="76"/>
      <c r="H92" s="77"/>
      <c r="I92" s="120">
        <f t="shared" si="9"/>
        <v>0</v>
      </c>
      <c r="J92" s="121">
        <f>IF($F$4="EOP 1", VLOOKUP(C92&amp;F92&amp;$F$4,'Rebate Reference Table'!$E$5:$J$132,4,FALSE), VLOOKUP(C92&amp;F92&amp;$F$4,'Rebate Reference Table'!$F$5:$J$132,5,FALSE))</f>
        <v>85</v>
      </c>
      <c r="K92" s="204">
        <f t="shared" si="3"/>
        <v>0</v>
      </c>
      <c r="L92" s="137"/>
      <c r="M92" s="172">
        <v>3</v>
      </c>
      <c r="N92" s="130">
        <v>11</v>
      </c>
      <c r="O92" s="130" t="s">
        <v>121</v>
      </c>
      <c r="P92" s="81"/>
      <c r="Q92" s="131" t="str">
        <f>IFERROR(H92*12800/P92,"")</f>
        <v/>
      </c>
      <c r="R92" s="246"/>
      <c r="S92" s="161"/>
    </row>
    <row r="93" spans="1:22" ht="24" customHeight="1" x14ac:dyDescent="0.2">
      <c r="A93" s="36"/>
      <c r="B93" s="55" t="s">
        <v>227</v>
      </c>
      <c r="C93" s="55" t="s">
        <v>82</v>
      </c>
      <c r="D93" s="55" t="s">
        <v>228</v>
      </c>
      <c r="E93" s="185" t="s">
        <v>82</v>
      </c>
      <c r="F93" s="37" t="s">
        <v>101</v>
      </c>
      <c r="G93" s="76"/>
      <c r="H93" s="77"/>
      <c r="I93" s="78">
        <f t="shared" si="9"/>
        <v>0</v>
      </c>
      <c r="J93" s="79">
        <f>IF($F$4="EOP 1", VLOOKUP(C93&amp;F93&amp;$F$4,'Rebate Reference Table'!$E$5:$J$132,3,FALSE), VLOOKUP(C93&amp;F93&amp;$F$4,'Rebate Reference Table'!$F$5:$J$132,5,FALSE))</f>
        <v>4</v>
      </c>
      <c r="K93" s="78">
        <f t="shared" si="3"/>
        <v>0</v>
      </c>
      <c r="L93" s="137"/>
      <c r="M93" s="173">
        <v>5.33</v>
      </c>
      <c r="N93" s="86">
        <v>16</v>
      </c>
      <c r="O93" s="86" t="s">
        <v>120</v>
      </c>
      <c r="P93" s="81"/>
      <c r="Q93" s="88" t="str">
        <f>IFERROR(H93*3200/P93,"")</f>
        <v/>
      </c>
      <c r="R93" s="158" t="s">
        <v>204</v>
      </c>
      <c r="S93" s="161"/>
    </row>
    <row r="94" spans="1:22" ht="24" customHeight="1" x14ac:dyDescent="0.2">
      <c r="A94" s="163" t="s">
        <v>227</v>
      </c>
      <c r="B94" s="164" t="s">
        <v>227</v>
      </c>
      <c r="C94" s="164" t="s">
        <v>83</v>
      </c>
      <c r="D94" s="164" t="s">
        <v>228</v>
      </c>
      <c r="E94" s="235" t="s">
        <v>83</v>
      </c>
      <c r="F94" s="119" t="s">
        <v>93</v>
      </c>
      <c r="G94" s="76"/>
      <c r="H94" s="77"/>
      <c r="I94" s="120">
        <f t="shared" si="9"/>
        <v>0</v>
      </c>
      <c r="J94" s="121">
        <f>IF($F$4="EOP 1", VLOOKUP(C94&amp;F94&amp;$F$4,'Rebate Reference Table'!$E$5:$J$132,3,FALSE), VLOOKUP(C94&amp;F94&amp;$F$4,'Rebate Reference Table'!$F$5:$J$132,5,FALSE))</f>
        <v>10</v>
      </c>
      <c r="K94" s="204">
        <f t="shared" si="3"/>
        <v>0</v>
      </c>
      <c r="L94" s="137"/>
      <c r="M94" s="172">
        <v>8</v>
      </c>
      <c r="N94" s="130">
        <v>16</v>
      </c>
      <c r="O94" s="130" t="s">
        <v>121</v>
      </c>
      <c r="P94" s="81"/>
      <c r="Q94" s="131" t="str">
        <f>IFERROR(H94*1600/P94,"")</f>
        <v/>
      </c>
      <c r="R94" s="244"/>
      <c r="S94" s="161"/>
    </row>
    <row r="95" spans="1:22" ht="24" customHeight="1" x14ac:dyDescent="0.2">
      <c r="A95" s="163" t="s">
        <v>227</v>
      </c>
      <c r="B95" s="164" t="s">
        <v>227</v>
      </c>
      <c r="C95" s="164" t="s">
        <v>83</v>
      </c>
      <c r="D95" s="164" t="s">
        <v>229</v>
      </c>
      <c r="E95" s="252"/>
      <c r="F95" s="119" t="s">
        <v>282</v>
      </c>
      <c r="G95" s="76"/>
      <c r="H95" s="77"/>
      <c r="I95" s="120">
        <f t="shared" si="9"/>
        <v>0</v>
      </c>
      <c r="J95" s="121">
        <f>IF($F$4="EOP 1", VLOOKUP(C95&amp;F95&amp;$F$4,'Rebate Reference Table'!$E$5:$J$132,4,FALSE), VLOOKUP(C95&amp;F95&amp;$F$4,'Rebate Reference Table'!$F$5:$J$132,5,FALSE))</f>
        <v>15</v>
      </c>
      <c r="K95" s="204">
        <f t="shared" si="3"/>
        <v>0</v>
      </c>
      <c r="L95" s="137"/>
      <c r="M95" s="172">
        <v>8</v>
      </c>
      <c r="N95" s="130">
        <v>16</v>
      </c>
      <c r="O95" s="130" t="s">
        <v>121</v>
      </c>
      <c r="P95" s="81"/>
      <c r="Q95" s="131" t="str">
        <f>IFERROR(H95*1600/P95,"")</f>
        <v/>
      </c>
      <c r="R95" s="245"/>
      <c r="S95" s="161"/>
    </row>
    <row r="96" spans="1:22" ht="24" customHeight="1" x14ac:dyDescent="0.2">
      <c r="A96" s="36" t="s">
        <v>227</v>
      </c>
      <c r="B96" s="55" t="s">
        <v>227</v>
      </c>
      <c r="C96" s="55" t="s">
        <v>68</v>
      </c>
      <c r="D96" s="55" t="s">
        <v>228</v>
      </c>
      <c r="E96" s="250" t="s">
        <v>68</v>
      </c>
      <c r="F96" s="37" t="s">
        <v>101</v>
      </c>
      <c r="G96" s="76"/>
      <c r="H96" s="77"/>
      <c r="I96" s="78">
        <f t="shared" si="9"/>
        <v>0</v>
      </c>
      <c r="J96" s="79">
        <f>IF($F$4="EOP 1", VLOOKUP(C96&amp;F96&amp;$F$4,'Rebate Reference Table'!$E$5:$J$132,3,FALSE), VLOOKUP(C96&amp;F96&amp;$F$4,'Rebate Reference Table'!$F$5:$J$132,5,FALSE))</f>
        <v>20</v>
      </c>
      <c r="K96" s="78">
        <f t="shared" si="3"/>
        <v>0</v>
      </c>
      <c r="L96" s="137"/>
      <c r="M96" s="173">
        <v>4</v>
      </c>
      <c r="N96" s="86">
        <v>25.3</v>
      </c>
      <c r="O96" s="86" t="s">
        <v>120</v>
      </c>
      <c r="P96" s="81"/>
      <c r="Q96" s="88" t="str">
        <f>IFERROR(H96*3200/P96,"")</f>
        <v/>
      </c>
      <c r="R96" s="272" t="s">
        <v>165</v>
      </c>
      <c r="S96" s="161"/>
    </row>
    <row r="97" spans="1:22" ht="24" customHeight="1" x14ac:dyDescent="0.2">
      <c r="A97" s="36" t="s">
        <v>227</v>
      </c>
      <c r="B97" s="55" t="s">
        <v>227</v>
      </c>
      <c r="C97" s="55" t="s">
        <v>68</v>
      </c>
      <c r="D97" s="55" t="s">
        <v>228</v>
      </c>
      <c r="E97" s="250"/>
      <c r="F97" s="37" t="s">
        <v>103</v>
      </c>
      <c r="G97" s="76"/>
      <c r="H97" s="77"/>
      <c r="I97" s="78">
        <f t="shared" si="9"/>
        <v>0</v>
      </c>
      <c r="J97" s="79">
        <f>IF($F$4="EOP 1", VLOOKUP(C97&amp;F97&amp;$F$4,'Rebate Reference Table'!$E$5:$J$132,3,FALSE), VLOOKUP(C97&amp;F97&amp;$F$4,'Rebate Reference Table'!$F$5:$J$132,5,FALSE))</f>
        <v>100</v>
      </c>
      <c r="K97" s="78">
        <f t="shared" si="3"/>
        <v>0</v>
      </c>
      <c r="L97" s="137"/>
      <c r="M97" s="173">
        <v>4</v>
      </c>
      <c r="N97" s="86">
        <v>25.3</v>
      </c>
      <c r="O97" s="86" t="s">
        <v>120</v>
      </c>
      <c r="P97" s="81"/>
      <c r="Q97" s="88" t="str">
        <f>IFERROR(H97*12800/P97,"")</f>
        <v/>
      </c>
      <c r="R97" s="272"/>
      <c r="S97" s="161"/>
    </row>
    <row r="98" spans="1:22" ht="24" customHeight="1" x14ac:dyDescent="0.2">
      <c r="A98" s="36" t="s">
        <v>227</v>
      </c>
      <c r="B98" s="55" t="s">
        <v>227</v>
      </c>
      <c r="C98" s="55" t="s">
        <v>68</v>
      </c>
      <c r="D98" s="55" t="s">
        <v>229</v>
      </c>
      <c r="E98" s="250"/>
      <c r="F98" s="37" t="s">
        <v>279</v>
      </c>
      <c r="G98" s="76"/>
      <c r="H98" s="77"/>
      <c r="I98" s="78">
        <f t="shared" si="9"/>
        <v>0</v>
      </c>
      <c r="J98" s="79">
        <f>IF($F$4="EOP 1", VLOOKUP(C98&amp;F98&amp;$F$4,'Rebate Reference Table'!$E$5:$J$132,4,FALSE), VLOOKUP(C98&amp;F98&amp;$F$4,'Rebate Reference Table'!$F$5:$J$132,5,FALSE))</f>
        <v>115</v>
      </c>
      <c r="K98" s="78">
        <f t="shared" si="3"/>
        <v>0</v>
      </c>
      <c r="L98" s="137"/>
      <c r="M98" s="173">
        <v>4</v>
      </c>
      <c r="N98" s="86">
        <v>25.3</v>
      </c>
      <c r="O98" s="86" t="s">
        <v>120</v>
      </c>
      <c r="P98" s="81"/>
      <c r="Q98" s="88" t="str">
        <f>IFERROR(H98*12800/P98,"")</f>
        <v/>
      </c>
      <c r="R98" s="272"/>
      <c r="S98" s="161"/>
    </row>
    <row r="99" spans="1:22" ht="24" customHeight="1" thickBot="1" x14ac:dyDescent="0.25">
      <c r="A99" s="56" t="s">
        <v>0</v>
      </c>
      <c r="B99" s="56" t="s">
        <v>0</v>
      </c>
      <c r="C99" s="56"/>
      <c r="D99" s="56" t="s">
        <v>0</v>
      </c>
      <c r="E99" s="136" t="s">
        <v>0</v>
      </c>
      <c r="F99" s="94"/>
      <c r="G99" s="94"/>
      <c r="H99" s="94"/>
      <c r="I99" s="94"/>
      <c r="J99" s="94"/>
      <c r="K99" s="203"/>
      <c r="L99" s="137"/>
      <c r="M99" s="94"/>
      <c r="N99" s="94"/>
      <c r="O99" s="94"/>
      <c r="P99" s="94"/>
      <c r="Q99" s="94"/>
      <c r="R99" s="116"/>
      <c r="S99" s="161"/>
    </row>
    <row r="100" spans="1:22" ht="24" customHeight="1" x14ac:dyDescent="0.2">
      <c r="A100" s="36" t="s">
        <v>227</v>
      </c>
      <c r="B100" s="55"/>
      <c r="C100" s="55" t="s">
        <v>142</v>
      </c>
      <c r="D100" s="55" t="s">
        <v>228</v>
      </c>
      <c r="E100" s="251" t="s">
        <v>142</v>
      </c>
      <c r="F100" s="70" t="s">
        <v>91</v>
      </c>
      <c r="G100" s="76"/>
      <c r="H100" s="77"/>
      <c r="I100" s="78">
        <f t="shared" ref="I100:I143" si="10">G100*H100</f>
        <v>0</v>
      </c>
      <c r="J100" s="79">
        <f>IF($F$4="EOP 1", VLOOKUP(C100&amp;F100&amp;$F$4,'Rebate Reference Table'!$E$5:$J$132,3,FALSE), VLOOKUP(C100&amp;F100&amp;$F$4,'Rebate Reference Table'!$F$5:$J$132,5,FALSE))</f>
        <v>15</v>
      </c>
      <c r="K100" s="78">
        <f t="shared" ref="K100:K143" si="11">H100*J100</f>
        <v>0</v>
      </c>
      <c r="L100" s="137"/>
      <c r="M100" s="171">
        <v>1.1000000000000001</v>
      </c>
      <c r="N100" s="82">
        <v>1.5</v>
      </c>
      <c r="O100" s="82" t="s">
        <v>127</v>
      </c>
      <c r="P100" s="81"/>
      <c r="Q100" s="83" t="str">
        <f>IFERROR((H100*320)/(P100*43.56),"")</f>
        <v/>
      </c>
      <c r="R100" s="260" t="s">
        <v>163</v>
      </c>
      <c r="S100" s="161"/>
    </row>
    <row r="101" spans="1:22" ht="24" customHeight="1" x14ac:dyDescent="0.2">
      <c r="A101" s="36" t="s">
        <v>227</v>
      </c>
      <c r="B101" s="55"/>
      <c r="C101" s="55" t="s">
        <v>142</v>
      </c>
      <c r="D101" s="55" t="s">
        <v>229</v>
      </c>
      <c r="E101" s="238"/>
      <c r="F101" s="70" t="s">
        <v>283</v>
      </c>
      <c r="G101" s="76"/>
      <c r="H101" s="77"/>
      <c r="I101" s="78">
        <f t="shared" si="10"/>
        <v>0</v>
      </c>
      <c r="J101" s="79">
        <f>IF($F$4="EOP 1", VLOOKUP(C101&amp;F101&amp;$F$4,'Rebate Reference Table'!$E$5:$J$132,4,FALSE), VLOOKUP(C101&amp;F101&amp;$F$4,'Rebate Reference Table'!$F$5:$J$132,5,FALSE))</f>
        <v>20</v>
      </c>
      <c r="K101" s="78">
        <f t="shared" si="11"/>
        <v>0</v>
      </c>
      <c r="L101" s="137"/>
      <c r="M101" s="171">
        <v>1.1000000000000001</v>
      </c>
      <c r="N101" s="82">
        <v>1.5</v>
      </c>
      <c r="O101" s="82" t="s">
        <v>127</v>
      </c>
      <c r="P101" s="81"/>
      <c r="Q101" s="83" t="str">
        <f>IFERROR((H101*320)/(P101*43.56),"")</f>
        <v/>
      </c>
      <c r="R101" s="256"/>
      <c r="S101" s="161"/>
    </row>
    <row r="102" spans="1:22" s="35" customFormat="1" ht="24" customHeight="1" x14ac:dyDescent="0.2">
      <c r="A102" s="163" t="s">
        <v>227</v>
      </c>
      <c r="B102" s="164"/>
      <c r="C102" s="164" t="s">
        <v>198</v>
      </c>
      <c r="D102" s="164" t="s">
        <v>228</v>
      </c>
      <c r="E102" s="235" t="s">
        <v>198</v>
      </c>
      <c r="F102" s="119" t="s">
        <v>98</v>
      </c>
      <c r="G102" s="76"/>
      <c r="H102" s="77"/>
      <c r="I102" s="120">
        <f t="shared" si="10"/>
        <v>0</v>
      </c>
      <c r="J102" s="121">
        <f>IF($F$4="EOP 1", VLOOKUP(C102&amp;F102&amp;$F$4,'Rebate Reference Table'!$E$5:$J$132,3,FALSE), VLOOKUP(C102&amp;F102&amp;$F$4,'Rebate Reference Table'!$F$5:$J$132,5,FALSE))</f>
        <v>7</v>
      </c>
      <c r="K102" s="120">
        <f t="shared" si="11"/>
        <v>0</v>
      </c>
      <c r="L102" s="137"/>
      <c r="M102" s="127">
        <v>2.6</v>
      </c>
      <c r="N102" s="122">
        <v>3</v>
      </c>
      <c r="O102" s="122" t="s">
        <v>127</v>
      </c>
      <c r="P102" s="81"/>
      <c r="Q102" s="132" t="str">
        <f>IFERROR((H102*64)/(P102*43.56),"")</f>
        <v/>
      </c>
      <c r="R102" s="244" t="s">
        <v>205</v>
      </c>
      <c r="S102" s="162"/>
    </row>
    <row r="103" spans="1:22" ht="24" customHeight="1" x14ac:dyDescent="0.2">
      <c r="A103" s="163" t="s">
        <v>227</v>
      </c>
      <c r="B103" s="164"/>
      <c r="C103" s="164" t="s">
        <v>198</v>
      </c>
      <c r="D103" s="164" t="s">
        <v>228</v>
      </c>
      <c r="E103" s="252"/>
      <c r="F103" s="119" t="s">
        <v>91</v>
      </c>
      <c r="G103" s="76"/>
      <c r="H103" s="77"/>
      <c r="I103" s="120">
        <f t="shared" si="10"/>
        <v>0</v>
      </c>
      <c r="J103" s="121">
        <f>IF($F$4="EOP 1", VLOOKUP(C103&amp;F103&amp;$F$4,'Rebate Reference Table'!$E$5:$J$132,3,FALSE), VLOOKUP(C103&amp;F103&amp;$F$4,'Rebate Reference Table'!$F$5:$J$132,5,FALSE))</f>
        <v>30</v>
      </c>
      <c r="K103" s="120">
        <f t="shared" si="11"/>
        <v>0</v>
      </c>
      <c r="L103" s="137"/>
      <c r="M103" s="127">
        <v>2.6</v>
      </c>
      <c r="N103" s="122">
        <v>3</v>
      </c>
      <c r="O103" s="122" t="s">
        <v>127</v>
      </c>
      <c r="P103" s="81"/>
      <c r="Q103" s="123" t="str">
        <f>IFERROR((H103*320)/(P103*43.56),"")</f>
        <v/>
      </c>
      <c r="R103" s="245"/>
      <c r="S103" s="161"/>
    </row>
    <row r="104" spans="1:22" ht="24" customHeight="1" x14ac:dyDescent="0.2">
      <c r="A104" s="163" t="s">
        <v>227</v>
      </c>
      <c r="B104" s="164"/>
      <c r="C104" s="164" t="s">
        <v>198</v>
      </c>
      <c r="D104" s="164" t="s">
        <v>229</v>
      </c>
      <c r="E104" s="252"/>
      <c r="F104" s="119" t="s">
        <v>284</v>
      </c>
      <c r="G104" s="76"/>
      <c r="H104" s="77"/>
      <c r="I104" s="120">
        <f t="shared" si="10"/>
        <v>0</v>
      </c>
      <c r="J104" s="121">
        <f>IF($F$4="EOP 1", VLOOKUP(C104&amp;F104&amp;$F$4,'Rebate Reference Table'!$E$5:$J$132,4,FALSE), VLOOKUP(C104&amp;F104&amp;$F$4,'Rebate Reference Table'!$F$5:$J$132,5,FALSE))</f>
        <v>35</v>
      </c>
      <c r="K104" s="120">
        <f t="shared" si="11"/>
        <v>0</v>
      </c>
      <c r="L104" s="137"/>
      <c r="M104" s="127">
        <v>2.6</v>
      </c>
      <c r="N104" s="122">
        <v>3</v>
      </c>
      <c r="O104" s="122" t="s">
        <v>127</v>
      </c>
      <c r="P104" s="81"/>
      <c r="Q104" s="123" t="str">
        <f>IFERROR((H104*320)/(P104*43.56),"")</f>
        <v/>
      </c>
      <c r="R104" s="245"/>
      <c r="S104" s="161"/>
    </row>
    <row r="105" spans="1:22" ht="24" customHeight="1" x14ac:dyDescent="0.2">
      <c r="A105" s="163" t="s">
        <v>227</v>
      </c>
      <c r="B105" s="164"/>
      <c r="C105" s="164" t="s">
        <v>198</v>
      </c>
      <c r="D105" s="164" t="s">
        <v>228</v>
      </c>
      <c r="E105" s="252"/>
      <c r="F105" s="119" t="s">
        <v>94</v>
      </c>
      <c r="G105" s="76"/>
      <c r="H105" s="77"/>
      <c r="I105" s="120">
        <f t="shared" si="10"/>
        <v>0</v>
      </c>
      <c r="J105" s="121">
        <f>IF($F$4="EOP 1", VLOOKUP(C105&amp;F105&amp;$F$4,'Rebate Reference Table'!$E$5:$J$132,3,FALSE), VLOOKUP(C105&amp;F105&amp;$F$4,'Rebate Reference Table'!$F$5:$J$132,5,FALSE))</f>
        <v>420</v>
      </c>
      <c r="K105" s="120">
        <f t="shared" si="11"/>
        <v>0</v>
      </c>
      <c r="L105" s="137"/>
      <c r="M105" s="127">
        <v>2.6</v>
      </c>
      <c r="N105" s="122">
        <v>3</v>
      </c>
      <c r="O105" s="122" t="s">
        <v>127</v>
      </c>
      <c r="P105" s="81"/>
      <c r="Q105" s="132" t="str">
        <f>IFERROR((H105*3840)/(P105*43.56),"")</f>
        <v/>
      </c>
      <c r="R105" s="245"/>
      <c r="S105" s="161"/>
    </row>
    <row r="106" spans="1:22" ht="24" customHeight="1" x14ac:dyDescent="0.2">
      <c r="A106" s="163" t="s">
        <v>227</v>
      </c>
      <c r="B106" s="164"/>
      <c r="C106" s="164" t="s">
        <v>198</v>
      </c>
      <c r="D106" s="164" t="s">
        <v>228</v>
      </c>
      <c r="E106" s="236"/>
      <c r="F106" s="119" t="s">
        <v>216</v>
      </c>
      <c r="G106" s="76"/>
      <c r="H106" s="77"/>
      <c r="I106" s="120">
        <f t="shared" si="10"/>
        <v>0</v>
      </c>
      <c r="J106" s="121">
        <f>IF($F$4="EOP 1", VLOOKUP(C106&amp;F106&amp;$F$4,'Rebate Reference Table'!$E$5:$J$132,3,FALSE), VLOOKUP(C106&amp;F106&amp;$F$4,'Rebate Reference Table'!$F$5:$J$132,5,FALSE))</f>
        <v>3710</v>
      </c>
      <c r="K106" s="120">
        <f t="shared" si="11"/>
        <v>0</v>
      </c>
      <c r="L106" s="137"/>
      <c r="M106" s="127">
        <v>2.6</v>
      </c>
      <c r="N106" s="122">
        <v>3</v>
      </c>
      <c r="O106" s="122" t="s">
        <v>127</v>
      </c>
      <c r="P106" s="81"/>
      <c r="Q106" s="133" t="str">
        <f>IFERROR((H106*33920)/(P106*43.56),"")</f>
        <v/>
      </c>
      <c r="R106" s="246"/>
      <c r="S106" s="161"/>
    </row>
    <row r="107" spans="1:22" ht="24" customHeight="1" x14ac:dyDescent="0.2">
      <c r="A107" s="36" t="s">
        <v>227</v>
      </c>
      <c r="B107" s="55" t="s">
        <v>227</v>
      </c>
      <c r="C107" s="55" t="s">
        <v>74</v>
      </c>
      <c r="D107" s="55" t="s">
        <v>228</v>
      </c>
      <c r="E107" s="185" t="s">
        <v>74</v>
      </c>
      <c r="F107" s="37" t="s">
        <v>92</v>
      </c>
      <c r="G107" s="76"/>
      <c r="H107" s="77"/>
      <c r="I107" s="78">
        <f t="shared" si="10"/>
        <v>0</v>
      </c>
      <c r="J107" s="79">
        <f>IF($F$4="EOP 1", VLOOKUP(C107&amp;F107&amp;$F$4,'Rebate Reference Table'!$E$5:$J$132,3,FALSE), VLOOKUP(C107&amp;F107&amp;$F$4,'Rebate Reference Table'!$F$5:$J$132,5,FALSE))</f>
        <v>15</v>
      </c>
      <c r="K107" s="205">
        <f t="shared" si="11"/>
        <v>0</v>
      </c>
      <c r="L107" s="187"/>
      <c r="M107" s="174">
        <v>3.5</v>
      </c>
      <c r="N107" s="90">
        <v>3.5</v>
      </c>
      <c r="O107" s="82" t="s">
        <v>128</v>
      </c>
      <c r="P107" s="81"/>
      <c r="Q107" s="87" t="str">
        <f>IFERROR((H107*50)/(P107*43.56),"")</f>
        <v/>
      </c>
      <c r="R107" s="158"/>
      <c r="S107" s="192"/>
      <c r="T107" s="193"/>
      <c r="U107" s="193"/>
      <c r="V107" s="193"/>
    </row>
    <row r="108" spans="1:22" ht="24" customHeight="1" x14ac:dyDescent="0.2">
      <c r="A108" s="165" t="s">
        <v>227</v>
      </c>
      <c r="B108" s="166"/>
      <c r="C108" s="166" t="s">
        <v>87</v>
      </c>
      <c r="D108" s="166" t="s">
        <v>228</v>
      </c>
      <c r="E108" s="252" t="s">
        <v>87</v>
      </c>
      <c r="F108" s="118" t="s">
        <v>112</v>
      </c>
      <c r="G108" s="76"/>
      <c r="H108" s="77"/>
      <c r="I108" s="120">
        <f t="shared" si="10"/>
        <v>0</v>
      </c>
      <c r="J108" s="121">
        <f>IF($F$4="EOP 1", VLOOKUP(C108&amp;F108&amp;$F$4,'Rebate Reference Table'!$E$5:$J$132,3,FALSE), VLOOKUP(C108&amp;F108&amp;$F$4,'Rebate Reference Table'!$F$5:$J$132,5,FALSE))</f>
        <v>35</v>
      </c>
      <c r="K108" s="120">
        <f t="shared" si="11"/>
        <v>0</v>
      </c>
      <c r="L108" s="137"/>
      <c r="M108" s="127">
        <v>8</v>
      </c>
      <c r="N108" s="122">
        <v>14</v>
      </c>
      <c r="O108" s="122" t="s">
        <v>119</v>
      </c>
      <c r="P108" s="81"/>
      <c r="Q108" s="123" t="str">
        <f>IFERROR(H108*16/P108,"")</f>
        <v/>
      </c>
      <c r="R108" s="245" t="s">
        <v>166</v>
      </c>
      <c r="S108" s="161"/>
    </row>
    <row r="109" spans="1:22" ht="24" customHeight="1" x14ac:dyDescent="0.2">
      <c r="A109" s="163" t="s">
        <v>227</v>
      </c>
      <c r="B109" s="164"/>
      <c r="C109" s="164" t="s">
        <v>87</v>
      </c>
      <c r="D109" s="164" t="s">
        <v>229</v>
      </c>
      <c r="E109" s="236"/>
      <c r="F109" s="119" t="s">
        <v>285</v>
      </c>
      <c r="G109" s="76"/>
      <c r="H109" s="77"/>
      <c r="I109" s="120">
        <f t="shared" si="10"/>
        <v>0</v>
      </c>
      <c r="J109" s="121">
        <f>IF($F$4="EOP 1", VLOOKUP(C109&amp;F109&amp;$F$4,'Rebate Reference Table'!$E$5:$J$132,4,FALSE), VLOOKUP(C109&amp;F109&amp;$F$4,'Rebate Reference Table'!$F$5:$J$132,5,FALSE))</f>
        <v>55</v>
      </c>
      <c r="K109" s="120">
        <f t="shared" si="11"/>
        <v>0</v>
      </c>
      <c r="L109" s="137"/>
      <c r="M109" s="172">
        <v>8</v>
      </c>
      <c r="N109" s="130">
        <v>14</v>
      </c>
      <c r="O109" s="122" t="s">
        <v>119</v>
      </c>
      <c r="P109" s="81"/>
      <c r="Q109" s="132" t="str">
        <f>IFERROR(H109*16/P109,"")</f>
        <v/>
      </c>
      <c r="R109" s="246"/>
      <c r="S109" s="161"/>
    </row>
    <row r="110" spans="1:22" ht="24" customHeight="1" x14ac:dyDescent="0.2">
      <c r="A110" s="36" t="s">
        <v>227</v>
      </c>
      <c r="B110" s="55" t="s">
        <v>227</v>
      </c>
      <c r="C110" s="55" t="s">
        <v>86</v>
      </c>
      <c r="D110" s="55" t="s">
        <v>228</v>
      </c>
      <c r="E110" s="185" t="s">
        <v>86</v>
      </c>
      <c r="F110" s="37" t="s">
        <v>113</v>
      </c>
      <c r="G110" s="76"/>
      <c r="H110" s="77"/>
      <c r="I110" s="78">
        <f t="shared" si="10"/>
        <v>0</v>
      </c>
      <c r="J110" s="79">
        <f>IF($F$4="EOP 1", VLOOKUP(C110&amp;F110&amp;$F$4,'Rebate Reference Table'!$E$5:$J$132,3,FALSE), VLOOKUP(C110&amp;F110&amp;$F$4,'Rebate Reference Table'!$F$5:$J$132,5,FALSE))</f>
        <v>30</v>
      </c>
      <c r="K110" s="205">
        <f t="shared" si="11"/>
        <v>0</v>
      </c>
      <c r="L110" s="137"/>
      <c r="M110" s="173">
        <v>0.75</v>
      </c>
      <c r="N110" s="86">
        <v>2</v>
      </c>
      <c r="O110" s="82" t="s">
        <v>119</v>
      </c>
      <c r="P110" s="81"/>
      <c r="Q110" s="87" t="str">
        <f>IFERROR(H110*1.25/P110,"")</f>
        <v/>
      </c>
      <c r="R110" s="158" t="s">
        <v>165</v>
      </c>
      <c r="S110" s="161"/>
    </row>
    <row r="111" spans="1:22" ht="24" customHeight="1" x14ac:dyDescent="0.2">
      <c r="A111" s="163" t="s">
        <v>227</v>
      </c>
      <c r="B111" s="164"/>
      <c r="C111" s="164" t="s">
        <v>69</v>
      </c>
      <c r="D111" s="164" t="s">
        <v>228</v>
      </c>
      <c r="E111" s="235" t="s">
        <v>69</v>
      </c>
      <c r="F111" s="119" t="s">
        <v>91</v>
      </c>
      <c r="G111" s="76"/>
      <c r="H111" s="77"/>
      <c r="I111" s="120">
        <f t="shared" si="10"/>
        <v>0</v>
      </c>
      <c r="J111" s="121">
        <f>IF($F$4="EOP 1", VLOOKUP(C111&amp;F111&amp;$F$4,'Rebate Reference Table'!$E$5:$J$132,3,FALSE), VLOOKUP(C111&amp;F111&amp;$F$4,'Rebate Reference Table'!$F$5:$J$132,5,FALSE))</f>
        <v>15</v>
      </c>
      <c r="K111" s="120">
        <f t="shared" si="11"/>
        <v>0</v>
      </c>
      <c r="L111" s="137"/>
      <c r="M111" s="172">
        <v>0.45910000000000001</v>
      </c>
      <c r="N111" s="130">
        <v>1.1020000000000001</v>
      </c>
      <c r="O111" s="122" t="s">
        <v>127</v>
      </c>
      <c r="P111" s="81"/>
      <c r="Q111" s="123" t="str">
        <f>IFERROR((H111*320)/(P111*43.56),"")</f>
        <v/>
      </c>
      <c r="R111" s="244" t="s">
        <v>164</v>
      </c>
      <c r="S111" s="161"/>
    </row>
    <row r="112" spans="1:22" ht="24" customHeight="1" x14ac:dyDescent="0.2">
      <c r="A112" s="163" t="s">
        <v>227</v>
      </c>
      <c r="B112" s="164"/>
      <c r="C112" s="164" t="s">
        <v>69</v>
      </c>
      <c r="D112" s="164" t="s">
        <v>229</v>
      </c>
      <c r="E112" s="252"/>
      <c r="F112" s="119" t="s">
        <v>286</v>
      </c>
      <c r="G112" s="76"/>
      <c r="H112" s="77"/>
      <c r="I112" s="120">
        <f t="shared" si="10"/>
        <v>0</v>
      </c>
      <c r="J112" s="121">
        <f>IF($F$4="EOP 1", VLOOKUP(C112&amp;F112&amp;$F$4,'Rebate Reference Table'!$E$5:$J$132,4,FALSE), VLOOKUP(C112&amp;F112&amp;$F$4,'Rebate Reference Table'!$F$5:$J$132,5,FALSE))</f>
        <v>20</v>
      </c>
      <c r="K112" s="120">
        <f t="shared" si="11"/>
        <v>0</v>
      </c>
      <c r="L112" s="137"/>
      <c r="M112" s="172">
        <v>0.45910000000000001</v>
      </c>
      <c r="N112" s="130">
        <v>1.1020000000000001</v>
      </c>
      <c r="O112" s="122" t="s">
        <v>127</v>
      </c>
      <c r="P112" s="81"/>
      <c r="Q112" s="123" t="str">
        <f>IFERROR((H112*320)/(P112*43.56),"")</f>
        <v/>
      </c>
      <c r="R112" s="245"/>
      <c r="S112" s="161"/>
    </row>
    <row r="113" spans="1:19" ht="24" customHeight="1" x14ac:dyDescent="0.2">
      <c r="A113" s="163" t="s">
        <v>227</v>
      </c>
      <c r="B113" s="164"/>
      <c r="C113" s="164" t="s">
        <v>69</v>
      </c>
      <c r="D113" s="164" t="s">
        <v>228</v>
      </c>
      <c r="E113" s="252"/>
      <c r="F113" s="119" t="s">
        <v>94</v>
      </c>
      <c r="G113" s="76"/>
      <c r="H113" s="77"/>
      <c r="I113" s="120">
        <f t="shared" si="10"/>
        <v>0</v>
      </c>
      <c r="J113" s="121">
        <f>IF($F$4="EOP 1", VLOOKUP(C113&amp;F113&amp;$F$4,'Rebate Reference Table'!$E$5:$J$132,3,FALSE), VLOOKUP(C113&amp;F113&amp;$F$4,'Rebate Reference Table'!$F$5:$J$132,5,FALSE))</f>
        <v>240</v>
      </c>
      <c r="K113" s="120">
        <f t="shared" si="11"/>
        <v>0</v>
      </c>
      <c r="L113" s="137"/>
      <c r="M113" s="172">
        <v>0.45910000000000001</v>
      </c>
      <c r="N113" s="130">
        <v>1.1020000000000001</v>
      </c>
      <c r="O113" s="122" t="s">
        <v>127</v>
      </c>
      <c r="P113" s="81"/>
      <c r="Q113" s="132" t="str">
        <f>IFERROR((H113*3840)/(P113*43.56),"")</f>
        <v/>
      </c>
      <c r="R113" s="245"/>
      <c r="S113" s="161"/>
    </row>
    <row r="114" spans="1:19" ht="24" customHeight="1" x14ac:dyDescent="0.2">
      <c r="A114" s="163" t="s">
        <v>227</v>
      </c>
      <c r="B114" s="164"/>
      <c r="C114" s="164" t="s">
        <v>69</v>
      </c>
      <c r="D114" s="164" t="s">
        <v>228</v>
      </c>
      <c r="E114" s="236"/>
      <c r="F114" s="119" t="s">
        <v>95</v>
      </c>
      <c r="G114" s="76"/>
      <c r="H114" s="77"/>
      <c r="I114" s="120">
        <f t="shared" si="10"/>
        <v>0</v>
      </c>
      <c r="J114" s="121">
        <f>IF($F$4="EOP 1", VLOOKUP(C114&amp;F114&amp;$F$4,'Rebate Reference Table'!$E$5:$J$132,3,FALSE), VLOOKUP(C114&amp;F114&amp;$F$4,'Rebate Reference Table'!$F$5:$J$132,5,FALSE))</f>
        <v>2000</v>
      </c>
      <c r="K114" s="120">
        <f t="shared" si="11"/>
        <v>0</v>
      </c>
      <c r="L114" s="137"/>
      <c r="M114" s="172">
        <v>0.45910000000000001</v>
      </c>
      <c r="N114" s="130">
        <v>1.1020000000000001</v>
      </c>
      <c r="O114" s="122" t="s">
        <v>127</v>
      </c>
      <c r="P114" s="81"/>
      <c r="Q114" s="132" t="str">
        <f>IFERROR((H114*32000)/(P114*43.56),"")</f>
        <v/>
      </c>
      <c r="R114" s="246"/>
      <c r="S114" s="161"/>
    </row>
    <row r="115" spans="1:19" ht="24" customHeight="1" x14ac:dyDescent="0.2">
      <c r="A115" s="36" t="s">
        <v>227</v>
      </c>
      <c r="B115" s="55"/>
      <c r="C115" s="55" t="s">
        <v>56</v>
      </c>
      <c r="D115" s="55" t="s">
        <v>228</v>
      </c>
      <c r="E115" s="247" t="s">
        <v>56</v>
      </c>
      <c r="F115" s="37" t="s">
        <v>91</v>
      </c>
      <c r="G115" s="76"/>
      <c r="H115" s="77"/>
      <c r="I115" s="78">
        <f t="shared" si="10"/>
        <v>0</v>
      </c>
      <c r="J115" s="79">
        <f>IF($F$4="EOP 1", VLOOKUP(C115&amp;F115&amp;$F$4,'Rebate Reference Table'!$E$5:$J$132,3,FALSE), VLOOKUP(C115&amp;F115&amp;$F$4,'Rebate Reference Table'!$F$5:$J$132,5,FALSE))</f>
        <v>15</v>
      </c>
      <c r="K115" s="205">
        <f t="shared" si="11"/>
        <v>0</v>
      </c>
      <c r="L115" s="137"/>
      <c r="M115" s="173">
        <v>0.91</v>
      </c>
      <c r="N115" s="86">
        <v>1.29</v>
      </c>
      <c r="O115" s="82" t="s">
        <v>127</v>
      </c>
      <c r="P115" s="81"/>
      <c r="Q115" s="83" t="str">
        <f>IFERROR((H115*320)/(P115*43.56),"")</f>
        <v/>
      </c>
      <c r="R115" s="258" t="s">
        <v>163</v>
      </c>
      <c r="S115" s="161"/>
    </row>
    <row r="116" spans="1:19" ht="24" customHeight="1" x14ac:dyDescent="0.2">
      <c r="A116" s="36" t="s">
        <v>227</v>
      </c>
      <c r="B116" s="55"/>
      <c r="C116" s="55" t="s">
        <v>56</v>
      </c>
      <c r="D116" s="55" t="s">
        <v>229</v>
      </c>
      <c r="E116" s="248"/>
      <c r="F116" s="37" t="s">
        <v>286</v>
      </c>
      <c r="G116" s="76"/>
      <c r="H116" s="77"/>
      <c r="I116" s="78">
        <f t="shared" si="10"/>
        <v>0</v>
      </c>
      <c r="J116" s="79">
        <f>IF($F$4="EOP 1", VLOOKUP(C116&amp;F116&amp;$F$4,'Rebate Reference Table'!$E$5:$J$132,4,FALSE), VLOOKUP(C116&amp;F116&amp;$F$4,'Rebate Reference Table'!$F$5:$J$132,5,FALSE))</f>
        <v>20</v>
      </c>
      <c r="K116" s="205">
        <f t="shared" si="11"/>
        <v>0</v>
      </c>
      <c r="L116" s="137"/>
      <c r="M116" s="173">
        <v>0.91</v>
      </c>
      <c r="N116" s="86">
        <v>1.29</v>
      </c>
      <c r="O116" s="82" t="s">
        <v>127</v>
      </c>
      <c r="P116" s="81"/>
      <c r="Q116" s="83" t="str">
        <f>IFERROR((H116*320)/(P116*43.56),"")</f>
        <v/>
      </c>
      <c r="R116" s="255"/>
      <c r="S116" s="161"/>
    </row>
    <row r="117" spans="1:19" ht="24" customHeight="1" x14ac:dyDescent="0.2">
      <c r="A117" s="36" t="s">
        <v>227</v>
      </c>
      <c r="B117" s="55"/>
      <c r="C117" s="55" t="s">
        <v>56</v>
      </c>
      <c r="D117" s="55" t="s">
        <v>228</v>
      </c>
      <c r="E117" s="249"/>
      <c r="F117" s="37" t="s">
        <v>94</v>
      </c>
      <c r="G117" s="76"/>
      <c r="H117" s="77"/>
      <c r="I117" s="78">
        <f t="shared" si="10"/>
        <v>0</v>
      </c>
      <c r="J117" s="79">
        <f>IF($F$4="EOP 1", VLOOKUP(C117&amp;F117&amp;$F$4,'Rebate Reference Table'!$E$5:$J$132,3,FALSE), VLOOKUP(C117&amp;F117&amp;$F$4,'Rebate Reference Table'!$F$5:$J$132,5,FALSE))</f>
        <v>240</v>
      </c>
      <c r="K117" s="205">
        <f t="shared" si="11"/>
        <v>0</v>
      </c>
      <c r="L117" s="137"/>
      <c r="M117" s="173">
        <v>0.91</v>
      </c>
      <c r="N117" s="86">
        <v>1.29</v>
      </c>
      <c r="O117" s="82" t="s">
        <v>127</v>
      </c>
      <c r="P117" s="81"/>
      <c r="Q117" s="87" t="str">
        <f>IFERROR((H117*3840)/(P117*43.56),"")</f>
        <v/>
      </c>
      <c r="R117" s="256"/>
      <c r="S117" s="161"/>
    </row>
    <row r="118" spans="1:19" ht="24" customHeight="1" x14ac:dyDescent="0.2">
      <c r="A118" s="163" t="s">
        <v>227</v>
      </c>
      <c r="B118" s="164"/>
      <c r="C118" s="164" t="s">
        <v>57</v>
      </c>
      <c r="D118" s="164" t="s">
        <v>228</v>
      </c>
      <c r="E118" s="235" t="s">
        <v>57</v>
      </c>
      <c r="F118" s="119" t="s">
        <v>91</v>
      </c>
      <c r="G118" s="76"/>
      <c r="H118" s="77"/>
      <c r="I118" s="120">
        <f t="shared" si="10"/>
        <v>0</v>
      </c>
      <c r="J118" s="121">
        <f>IF($F$4="EOP 1", VLOOKUP(C118&amp;F118&amp;$F$4,'Rebate Reference Table'!$E$5:$J$132,3,FALSE), VLOOKUP(C118&amp;F118&amp;$F$4,'Rebate Reference Table'!$F$5:$J$132,5,FALSE))</f>
        <v>15</v>
      </c>
      <c r="K118" s="120">
        <f t="shared" si="11"/>
        <v>0</v>
      </c>
      <c r="L118" s="137"/>
      <c r="M118" s="172">
        <v>0.75</v>
      </c>
      <c r="N118" s="130">
        <v>1.1000000000000001</v>
      </c>
      <c r="O118" s="122" t="s">
        <v>127</v>
      </c>
      <c r="P118" s="81"/>
      <c r="Q118" s="123" t="str">
        <f>IFERROR((H118*320)/(P118*43.56),"")</f>
        <v/>
      </c>
      <c r="R118" s="244" t="s">
        <v>162</v>
      </c>
      <c r="S118" s="161"/>
    </row>
    <row r="119" spans="1:19" ht="24" customHeight="1" x14ac:dyDescent="0.2">
      <c r="A119" s="165" t="s">
        <v>227</v>
      </c>
      <c r="B119" s="166"/>
      <c r="C119" s="166" t="s">
        <v>57</v>
      </c>
      <c r="D119" s="166" t="s">
        <v>229</v>
      </c>
      <c r="E119" s="252"/>
      <c r="F119" s="119" t="s">
        <v>286</v>
      </c>
      <c r="G119" s="76"/>
      <c r="H119" s="77"/>
      <c r="I119" s="120">
        <f t="shared" si="10"/>
        <v>0</v>
      </c>
      <c r="J119" s="121">
        <f>IF($F$4="EOP 1", VLOOKUP(C119&amp;F119&amp;$F$4,'Rebate Reference Table'!$E$5:$J$132,4,FALSE), VLOOKUP(C119&amp;F119&amp;$F$4,'Rebate Reference Table'!$F$5:$J$132,5,FALSE))</f>
        <v>20</v>
      </c>
      <c r="K119" s="120">
        <f t="shared" si="11"/>
        <v>0</v>
      </c>
      <c r="L119" s="137"/>
      <c r="M119" s="172">
        <v>0.75</v>
      </c>
      <c r="N119" s="130">
        <v>1.1000000000000001</v>
      </c>
      <c r="O119" s="122" t="s">
        <v>127</v>
      </c>
      <c r="P119" s="81"/>
      <c r="Q119" s="132" t="str">
        <f>IFERROR((H119*320)/(P119*43.56),"")</f>
        <v/>
      </c>
      <c r="R119" s="245"/>
      <c r="S119" s="161"/>
    </row>
    <row r="120" spans="1:19" ht="24" customHeight="1" x14ac:dyDescent="0.2">
      <c r="A120" s="163" t="s">
        <v>227</v>
      </c>
      <c r="B120" s="164"/>
      <c r="C120" s="164" t="s">
        <v>57</v>
      </c>
      <c r="D120" s="164" t="s">
        <v>228</v>
      </c>
      <c r="E120" s="252"/>
      <c r="F120" s="119" t="s">
        <v>94</v>
      </c>
      <c r="G120" s="76"/>
      <c r="H120" s="77"/>
      <c r="I120" s="120">
        <f t="shared" si="10"/>
        <v>0</v>
      </c>
      <c r="J120" s="121">
        <f>IF($F$4="EOP 1", VLOOKUP(C120&amp;F120&amp;$F$4,'Rebate Reference Table'!$E$5:$J$132,3,FALSE), VLOOKUP(C120&amp;F120&amp;$F$4,'Rebate Reference Table'!$F$5:$J$132,5,FALSE))</f>
        <v>240</v>
      </c>
      <c r="K120" s="120">
        <f t="shared" si="11"/>
        <v>0</v>
      </c>
      <c r="L120" s="137"/>
      <c r="M120" s="172">
        <v>0.75</v>
      </c>
      <c r="N120" s="130">
        <v>1.1000000000000001</v>
      </c>
      <c r="O120" s="122" t="s">
        <v>127</v>
      </c>
      <c r="P120" s="81"/>
      <c r="Q120" s="132" t="str">
        <f>IFERROR((H120*3840)/(P120*43.56),"")</f>
        <v/>
      </c>
      <c r="R120" s="245"/>
      <c r="S120" s="161"/>
    </row>
    <row r="121" spans="1:19" ht="24" customHeight="1" x14ac:dyDescent="0.2">
      <c r="A121" s="163" t="s">
        <v>227</v>
      </c>
      <c r="B121" s="164"/>
      <c r="C121" s="164" t="s">
        <v>57</v>
      </c>
      <c r="D121" s="164" t="s">
        <v>228</v>
      </c>
      <c r="E121" s="236"/>
      <c r="F121" s="119" t="s">
        <v>95</v>
      </c>
      <c r="G121" s="76"/>
      <c r="H121" s="77"/>
      <c r="I121" s="120">
        <f t="shared" si="10"/>
        <v>0</v>
      </c>
      <c r="J121" s="121">
        <f>IF($F$4="EOP 1", VLOOKUP(C121&amp;F121&amp;$F$4,'Rebate Reference Table'!$E$5:$J$132,3,FALSE), VLOOKUP(C121&amp;F121&amp;$F$4,'Rebate Reference Table'!$F$5:$J$132,5,FALSE))</f>
        <v>2000</v>
      </c>
      <c r="K121" s="120">
        <f t="shared" si="11"/>
        <v>0</v>
      </c>
      <c r="L121" s="137"/>
      <c r="M121" s="172">
        <v>0.75</v>
      </c>
      <c r="N121" s="130">
        <v>1.1000000000000001</v>
      </c>
      <c r="O121" s="122" t="s">
        <v>127</v>
      </c>
      <c r="P121" s="81"/>
      <c r="Q121" s="132" t="str">
        <f>IFERROR((H121*32000)/(P121*43.56),"")</f>
        <v/>
      </c>
      <c r="R121" s="246"/>
      <c r="S121" s="161"/>
    </row>
    <row r="122" spans="1:19" ht="24" customHeight="1" x14ac:dyDescent="0.2">
      <c r="A122" s="36" t="s">
        <v>227</v>
      </c>
      <c r="B122" s="55"/>
      <c r="C122" s="55" t="s">
        <v>58</v>
      </c>
      <c r="D122" s="55" t="s">
        <v>228</v>
      </c>
      <c r="E122" s="271" t="s">
        <v>58</v>
      </c>
      <c r="F122" s="70" t="s">
        <v>91</v>
      </c>
      <c r="G122" s="76"/>
      <c r="H122" s="77"/>
      <c r="I122" s="78">
        <f t="shared" si="10"/>
        <v>0</v>
      </c>
      <c r="J122" s="79">
        <f>IF($F$4="EOP 1", VLOOKUP(C122&amp;F122&amp;$F$4,'Rebate Reference Table'!$E$5:$J$132,3,FALSE), VLOOKUP(C122&amp;F122&amp;$F$4,'Rebate Reference Table'!$F$5:$J$132,5,FALSE))</f>
        <v>15</v>
      </c>
      <c r="K122" s="78">
        <f t="shared" si="11"/>
        <v>0</v>
      </c>
      <c r="L122" s="137"/>
      <c r="M122" s="171">
        <v>0.73</v>
      </c>
      <c r="N122" s="82">
        <v>1.1000000000000001</v>
      </c>
      <c r="O122" s="82" t="s">
        <v>127</v>
      </c>
      <c r="P122" s="81"/>
      <c r="Q122" s="83" t="str">
        <f>IFERROR((H122*320)/(P122*43.56),"")</f>
        <v/>
      </c>
      <c r="R122" s="255" t="s">
        <v>161</v>
      </c>
      <c r="S122" s="161"/>
    </row>
    <row r="123" spans="1:19" ht="24" customHeight="1" x14ac:dyDescent="0.2">
      <c r="A123" s="36" t="s">
        <v>227</v>
      </c>
      <c r="B123" s="55"/>
      <c r="C123" s="55" t="s">
        <v>58</v>
      </c>
      <c r="D123" s="55" t="s">
        <v>229</v>
      </c>
      <c r="E123" s="271"/>
      <c r="F123" s="37" t="s">
        <v>286</v>
      </c>
      <c r="G123" s="76"/>
      <c r="H123" s="77"/>
      <c r="I123" s="78">
        <f t="shared" si="10"/>
        <v>0</v>
      </c>
      <c r="J123" s="79">
        <f>IF($F$4="EOP 1", VLOOKUP(C123&amp;F123&amp;$F$4,'Rebate Reference Table'!$E$5:$J$132,4,FALSE), VLOOKUP(C123&amp;F123&amp;$F$4,'Rebate Reference Table'!$F$5:$J$132,5,FALSE))</f>
        <v>20</v>
      </c>
      <c r="K123" s="205">
        <f t="shared" si="11"/>
        <v>0</v>
      </c>
      <c r="L123" s="137"/>
      <c r="M123" s="173">
        <v>0.73</v>
      </c>
      <c r="N123" s="86">
        <v>1.1000000000000001</v>
      </c>
      <c r="O123" s="82" t="s">
        <v>127</v>
      </c>
      <c r="P123" s="81"/>
      <c r="Q123" s="83" t="str">
        <f>IFERROR((H123*320)/(P123*43.56),"")</f>
        <v/>
      </c>
      <c r="R123" s="255"/>
      <c r="S123" s="161"/>
    </row>
    <row r="124" spans="1:19" ht="24" customHeight="1" x14ac:dyDescent="0.2">
      <c r="A124" s="36" t="s">
        <v>227</v>
      </c>
      <c r="B124" s="55"/>
      <c r="C124" s="55" t="s">
        <v>58</v>
      </c>
      <c r="D124" s="55" t="s">
        <v>228</v>
      </c>
      <c r="E124" s="271"/>
      <c r="F124" s="37" t="s">
        <v>94</v>
      </c>
      <c r="G124" s="76"/>
      <c r="H124" s="77"/>
      <c r="I124" s="78">
        <f t="shared" si="10"/>
        <v>0</v>
      </c>
      <c r="J124" s="79">
        <f>IF($F$4="EOP 1", VLOOKUP(C124&amp;F124&amp;$F$4,'Rebate Reference Table'!$E$5:$J$132,3,FALSE), VLOOKUP(C124&amp;F124&amp;$F$4,'Rebate Reference Table'!$F$5:$J$132,5,FALSE))</f>
        <v>240</v>
      </c>
      <c r="K124" s="205">
        <f t="shared" si="11"/>
        <v>0</v>
      </c>
      <c r="L124" s="137"/>
      <c r="M124" s="173">
        <v>0.73</v>
      </c>
      <c r="N124" s="86">
        <v>1.1000000000000001</v>
      </c>
      <c r="O124" s="82" t="s">
        <v>127</v>
      </c>
      <c r="P124" s="81"/>
      <c r="Q124" s="87" t="str">
        <f>IFERROR((H124*3840)/(P124*43.56),"")</f>
        <v/>
      </c>
      <c r="R124" s="255"/>
      <c r="S124" s="161"/>
    </row>
    <row r="125" spans="1:19" ht="24" customHeight="1" x14ac:dyDescent="0.2">
      <c r="A125" s="36" t="s">
        <v>227</v>
      </c>
      <c r="B125" s="55"/>
      <c r="C125" s="55" t="s">
        <v>58</v>
      </c>
      <c r="D125" s="55" t="s">
        <v>228</v>
      </c>
      <c r="E125" s="238"/>
      <c r="F125" s="37" t="s">
        <v>95</v>
      </c>
      <c r="G125" s="76"/>
      <c r="H125" s="77"/>
      <c r="I125" s="78">
        <f t="shared" si="10"/>
        <v>0</v>
      </c>
      <c r="J125" s="79">
        <f>IF($F$4="EOP 1", VLOOKUP(C125&amp;F125&amp;$F$4,'Rebate Reference Table'!$E$5:$J$132,3,FALSE), VLOOKUP(C125&amp;F125&amp;$F$4,'Rebate Reference Table'!$F$5:$J$132,5,FALSE))</f>
        <v>2000</v>
      </c>
      <c r="K125" s="78">
        <f t="shared" si="11"/>
        <v>0</v>
      </c>
      <c r="L125" s="137"/>
      <c r="M125" s="173">
        <v>0.73</v>
      </c>
      <c r="N125" s="86">
        <v>1.1000000000000001</v>
      </c>
      <c r="O125" s="82" t="s">
        <v>127</v>
      </c>
      <c r="P125" s="81"/>
      <c r="Q125" s="87" t="str">
        <f>IFERROR((H125*32000)/(P125*43.56),"")</f>
        <v/>
      </c>
      <c r="R125" s="256"/>
      <c r="S125" s="161"/>
    </row>
    <row r="126" spans="1:19" ht="24" customHeight="1" x14ac:dyDescent="0.2">
      <c r="A126" s="163" t="s">
        <v>227</v>
      </c>
      <c r="B126" s="164"/>
      <c r="C126" s="164" t="s">
        <v>59</v>
      </c>
      <c r="D126" s="164" t="s">
        <v>228</v>
      </c>
      <c r="E126" s="235" t="s">
        <v>59</v>
      </c>
      <c r="F126" s="119" t="s">
        <v>114</v>
      </c>
      <c r="G126" s="76"/>
      <c r="H126" s="77"/>
      <c r="I126" s="120">
        <f t="shared" si="10"/>
        <v>0</v>
      </c>
      <c r="J126" s="121">
        <f>IF($F$4="EOP 1", VLOOKUP(C126&amp;F126&amp;$F$4,'Rebate Reference Table'!$E$5:$J$132,3,FALSE), VLOOKUP(C126&amp;F126&amp;$F$4,'Rebate Reference Table'!$F$5:$J$132,5,FALSE))</f>
        <v>4</v>
      </c>
      <c r="K126" s="120">
        <f t="shared" si="11"/>
        <v>0</v>
      </c>
      <c r="L126" s="137"/>
      <c r="M126" s="172">
        <v>0.25</v>
      </c>
      <c r="N126" s="130">
        <v>1</v>
      </c>
      <c r="O126" s="122" t="s">
        <v>119</v>
      </c>
      <c r="P126" s="81"/>
      <c r="Q126" s="132" t="str">
        <f>IFERROR(H126*2/P126,"")</f>
        <v/>
      </c>
      <c r="R126" s="244" t="s">
        <v>160</v>
      </c>
      <c r="S126" s="161"/>
    </row>
    <row r="127" spans="1:19" ht="24" customHeight="1" x14ac:dyDescent="0.2">
      <c r="A127" s="163" t="s">
        <v>227</v>
      </c>
      <c r="B127" s="164"/>
      <c r="C127" s="164" t="s">
        <v>59</v>
      </c>
      <c r="D127" s="164" t="s">
        <v>228</v>
      </c>
      <c r="E127" s="236"/>
      <c r="F127" s="119" t="s">
        <v>96</v>
      </c>
      <c r="G127" s="76"/>
      <c r="H127" s="77"/>
      <c r="I127" s="120">
        <f t="shared" si="10"/>
        <v>0</v>
      </c>
      <c r="J127" s="121">
        <f>IF($F$4="EOP 1", VLOOKUP(C127&amp;F127&amp;$F$4,'Rebate Reference Table'!$E$5:$J$132,3,FALSE), VLOOKUP(C127&amp;F127&amp;$F$4,'Rebate Reference Table'!$F$5:$J$132,5,FALSE))</f>
        <v>16</v>
      </c>
      <c r="K127" s="120">
        <f t="shared" si="11"/>
        <v>0</v>
      </c>
      <c r="L127" s="137"/>
      <c r="M127" s="172">
        <v>0.25</v>
      </c>
      <c r="N127" s="130">
        <v>1</v>
      </c>
      <c r="O127" s="122" t="s">
        <v>119</v>
      </c>
      <c r="P127" s="81"/>
      <c r="Q127" s="132" t="str">
        <f>IFERROR(H127*8/P127,"")</f>
        <v/>
      </c>
      <c r="R127" s="246"/>
      <c r="S127" s="161"/>
    </row>
    <row r="128" spans="1:19" ht="24" customHeight="1" x14ac:dyDescent="0.2">
      <c r="A128" s="36" t="s">
        <v>227</v>
      </c>
      <c r="B128" s="55"/>
      <c r="C128" s="55" t="s">
        <v>60</v>
      </c>
      <c r="D128" s="55" t="s">
        <v>228</v>
      </c>
      <c r="E128" s="237" t="s">
        <v>60</v>
      </c>
      <c r="F128" s="37" t="s">
        <v>91</v>
      </c>
      <c r="G128" s="76"/>
      <c r="H128" s="77"/>
      <c r="I128" s="78">
        <f t="shared" si="10"/>
        <v>0</v>
      </c>
      <c r="J128" s="79">
        <f>IF($F$4="EOP 1", VLOOKUP(C128&amp;F128&amp;$F$4,'Rebate Reference Table'!$E$5:$J$132,3,FALSE), VLOOKUP(C128&amp;F128&amp;$F$4,'Rebate Reference Table'!$F$5:$J$132,5,FALSE))</f>
        <v>10</v>
      </c>
      <c r="K128" s="205">
        <f t="shared" si="11"/>
        <v>0</v>
      </c>
      <c r="L128" s="137"/>
      <c r="M128" s="173">
        <v>0.73</v>
      </c>
      <c r="N128" s="86">
        <v>1.1000000000000001</v>
      </c>
      <c r="O128" s="82" t="s">
        <v>127</v>
      </c>
      <c r="P128" s="81"/>
      <c r="Q128" s="83" t="str">
        <f>IFERROR((H128*320)/(P128*43.56),"")</f>
        <v/>
      </c>
      <c r="R128" s="258" t="s">
        <v>327</v>
      </c>
      <c r="S128" s="161"/>
    </row>
    <row r="129" spans="1:22" ht="24" customHeight="1" x14ac:dyDescent="0.2">
      <c r="A129" s="36" t="s">
        <v>227</v>
      </c>
      <c r="B129" s="55"/>
      <c r="C129" s="55" t="s">
        <v>60</v>
      </c>
      <c r="D129" s="55" t="s">
        <v>229</v>
      </c>
      <c r="E129" s="271"/>
      <c r="F129" s="37" t="s">
        <v>287</v>
      </c>
      <c r="G129" s="76"/>
      <c r="H129" s="77"/>
      <c r="I129" s="78">
        <f t="shared" si="10"/>
        <v>0</v>
      </c>
      <c r="J129" s="79">
        <f>IF($F$4="EOP 1", VLOOKUP(C129&amp;F129&amp;$F$4,'Rebate Reference Table'!$E$5:$J$132,4,FALSE), VLOOKUP(C129&amp;F129&amp;$F$4,'Rebate Reference Table'!$F$5:$J$132,5,FALSE))</f>
        <v>50</v>
      </c>
      <c r="K129" s="205">
        <f t="shared" si="11"/>
        <v>0</v>
      </c>
      <c r="L129" s="137"/>
      <c r="M129" s="173">
        <v>0.73</v>
      </c>
      <c r="N129" s="86">
        <v>1.1000000000000001</v>
      </c>
      <c r="O129" s="82" t="s">
        <v>127</v>
      </c>
      <c r="P129" s="81"/>
      <c r="Q129" s="83" t="str">
        <f>IFERROR((H129*320)/(P129*43.56),"")</f>
        <v/>
      </c>
      <c r="R129" s="255"/>
      <c r="S129" s="161"/>
    </row>
    <row r="130" spans="1:22" ht="24" customHeight="1" x14ac:dyDescent="0.2">
      <c r="A130" s="36" t="s">
        <v>227</v>
      </c>
      <c r="B130" s="55"/>
      <c r="C130" s="55" t="s">
        <v>60</v>
      </c>
      <c r="D130" s="55" t="s">
        <v>228</v>
      </c>
      <c r="E130" s="238"/>
      <c r="F130" s="37" t="s">
        <v>94</v>
      </c>
      <c r="G130" s="76"/>
      <c r="H130" s="77"/>
      <c r="I130" s="78">
        <f t="shared" si="10"/>
        <v>0</v>
      </c>
      <c r="J130" s="79">
        <f>IF($F$4="EOP 1", VLOOKUP(C130&amp;F130&amp;$F$4,'Rebate Reference Table'!$E$5:$J$132,3,FALSE), VLOOKUP(C130&amp;F130&amp;$F$4,'Rebate Reference Table'!$F$5:$J$132,5,FALSE))</f>
        <v>600</v>
      </c>
      <c r="K130" s="205">
        <f t="shared" si="11"/>
        <v>0</v>
      </c>
      <c r="L130" s="137"/>
      <c r="M130" s="173">
        <v>0.73</v>
      </c>
      <c r="N130" s="86">
        <v>1.1000000000000001</v>
      </c>
      <c r="O130" s="82" t="s">
        <v>127</v>
      </c>
      <c r="P130" s="81"/>
      <c r="Q130" s="87" t="str">
        <f>IFERROR((H130*3840)/(P130*43.56),"")</f>
        <v/>
      </c>
      <c r="R130" s="256"/>
      <c r="S130" s="161"/>
    </row>
    <row r="131" spans="1:22" ht="24" customHeight="1" x14ac:dyDescent="0.2">
      <c r="A131" s="163" t="s">
        <v>227</v>
      </c>
      <c r="B131" s="164"/>
      <c r="C131" s="164" t="s">
        <v>147</v>
      </c>
      <c r="D131" s="164" t="s">
        <v>228</v>
      </c>
      <c r="E131" s="235" t="s">
        <v>147</v>
      </c>
      <c r="F131" s="119" t="s">
        <v>150</v>
      </c>
      <c r="G131" s="76"/>
      <c r="H131" s="77"/>
      <c r="I131" s="120">
        <f t="shared" si="10"/>
        <v>0</v>
      </c>
      <c r="J131" s="121">
        <f>IF($F$4="EOP 1", VLOOKUP(C131&amp;F131&amp;$F$4,'Rebate Reference Table'!$E$5:$J$132,3,FALSE), VLOOKUP(C131&amp;F131&amp;$F$4,'Rebate Reference Table'!$F$5:$J$132,5,FALSE))</f>
        <v>5</v>
      </c>
      <c r="K131" s="120">
        <f t="shared" si="11"/>
        <v>0</v>
      </c>
      <c r="L131" s="137"/>
      <c r="M131" s="172">
        <v>8</v>
      </c>
      <c r="N131" s="130">
        <v>10</v>
      </c>
      <c r="O131" s="122" t="s">
        <v>119</v>
      </c>
      <c r="P131" s="81"/>
      <c r="Q131" s="132" t="str">
        <f>IFERROR(H131*16/P131,"")</f>
        <v/>
      </c>
      <c r="R131" s="244" t="s">
        <v>328</v>
      </c>
      <c r="S131" s="161"/>
    </row>
    <row r="132" spans="1:22" ht="24" customHeight="1" x14ac:dyDescent="0.2">
      <c r="A132" s="163" t="s">
        <v>227</v>
      </c>
      <c r="B132" s="164"/>
      <c r="C132" s="164" t="s">
        <v>147</v>
      </c>
      <c r="D132" s="164" t="s">
        <v>228</v>
      </c>
      <c r="E132" s="252"/>
      <c r="F132" s="134" t="s">
        <v>116</v>
      </c>
      <c r="G132" s="76"/>
      <c r="H132" s="77"/>
      <c r="I132" s="120">
        <f t="shared" si="10"/>
        <v>0</v>
      </c>
      <c r="J132" s="121">
        <f>IF($F$4="EOP 1", VLOOKUP(C132&amp;F132&amp;$F$4,'Rebate Reference Table'!$E$5:$J$132,3,FALSE), VLOOKUP(C132&amp;F132&amp;$F$4,'Rebate Reference Table'!$F$5:$J$132,5,FALSE))</f>
        <v>25</v>
      </c>
      <c r="K132" s="120">
        <f t="shared" si="11"/>
        <v>0</v>
      </c>
      <c r="L132" s="137"/>
      <c r="M132" s="172">
        <v>8</v>
      </c>
      <c r="N132" s="130">
        <v>10</v>
      </c>
      <c r="O132" s="122" t="s">
        <v>119</v>
      </c>
      <c r="P132" s="81"/>
      <c r="Q132" s="132" t="str">
        <f>IFERROR(H132*80/P132,"")</f>
        <v/>
      </c>
      <c r="R132" s="245"/>
      <c r="S132" s="161"/>
    </row>
    <row r="133" spans="1:22" ht="24" customHeight="1" x14ac:dyDescent="0.2">
      <c r="A133" s="163" t="s">
        <v>227</v>
      </c>
      <c r="B133" s="164"/>
      <c r="C133" s="164" t="s">
        <v>147</v>
      </c>
      <c r="D133" s="164" t="s">
        <v>229</v>
      </c>
      <c r="E133" s="236"/>
      <c r="F133" s="134" t="s">
        <v>288</v>
      </c>
      <c r="G133" s="76"/>
      <c r="H133" s="77"/>
      <c r="I133" s="120">
        <f t="shared" si="10"/>
        <v>0</v>
      </c>
      <c r="J133" s="121">
        <f>IF($F$4="EOP 1", VLOOKUP(C133&amp;F133&amp;$F$4,'Rebate Reference Table'!$E$5:$J$132,4,FALSE), VLOOKUP(C133&amp;F133&amp;$F$4,'Rebate Reference Table'!$F$5:$J$132,5,FALSE))</f>
        <v>50</v>
      </c>
      <c r="K133" s="120">
        <f t="shared" si="11"/>
        <v>0</v>
      </c>
      <c r="L133" s="137"/>
      <c r="M133" s="172">
        <v>8</v>
      </c>
      <c r="N133" s="130">
        <v>10</v>
      </c>
      <c r="O133" s="122" t="s">
        <v>119</v>
      </c>
      <c r="P133" s="81"/>
      <c r="Q133" s="132" t="str">
        <f>IFERROR(H133*80/P133,"")</f>
        <v/>
      </c>
      <c r="R133" s="246"/>
      <c r="S133" s="161"/>
    </row>
    <row r="134" spans="1:22" ht="24" customHeight="1" x14ac:dyDescent="0.2">
      <c r="A134" s="36" t="s">
        <v>227</v>
      </c>
      <c r="B134" s="55" t="s">
        <v>227</v>
      </c>
      <c r="C134" s="55" t="s">
        <v>151</v>
      </c>
      <c r="D134" s="55" t="s">
        <v>228</v>
      </c>
      <c r="E134" s="237" t="s">
        <v>151</v>
      </c>
      <c r="F134" s="54" t="s">
        <v>97</v>
      </c>
      <c r="G134" s="76"/>
      <c r="H134" s="77"/>
      <c r="I134" s="78">
        <f t="shared" si="10"/>
        <v>0</v>
      </c>
      <c r="J134" s="79">
        <f>IF($F$4="EOP 1", VLOOKUP(C134&amp;F134&amp;$F$4,'Rebate Reference Table'!$E$5:$J$132,3,FALSE), VLOOKUP(C134&amp;F134&amp;$F$4,'Rebate Reference Table'!$F$5:$J$132,5,FALSE))</f>
        <v>6</v>
      </c>
      <c r="K134" s="205">
        <f t="shared" si="11"/>
        <v>0</v>
      </c>
      <c r="L134" s="137"/>
      <c r="M134" s="173">
        <v>8</v>
      </c>
      <c r="N134" s="86">
        <v>12</v>
      </c>
      <c r="O134" s="82" t="s">
        <v>137</v>
      </c>
      <c r="P134" s="81"/>
      <c r="Q134" s="87" t="str">
        <f>IFERROR(H134*16/P134,"")</f>
        <v/>
      </c>
      <c r="R134" s="258" t="s">
        <v>157</v>
      </c>
      <c r="S134" s="161"/>
    </row>
    <row r="135" spans="1:22" ht="24" customHeight="1" x14ac:dyDescent="0.2">
      <c r="A135" s="36" t="s">
        <v>227</v>
      </c>
      <c r="B135" s="55" t="s">
        <v>227</v>
      </c>
      <c r="C135" s="55" t="s">
        <v>151</v>
      </c>
      <c r="D135" s="55" t="s">
        <v>228</v>
      </c>
      <c r="E135" s="271"/>
      <c r="F135" s="53" t="s">
        <v>98</v>
      </c>
      <c r="G135" s="76"/>
      <c r="H135" s="77"/>
      <c r="I135" s="78">
        <f t="shared" si="10"/>
        <v>0</v>
      </c>
      <c r="J135" s="79">
        <f>IF($F$4="EOP 1", VLOOKUP(C135&amp;F135&amp;$F$4,'Rebate Reference Table'!$E$5:$J$132,3,FALSE), VLOOKUP(C135&amp;F135&amp;$F$4,'Rebate Reference Table'!$F$5:$J$132,5,FALSE))</f>
        <v>25</v>
      </c>
      <c r="K135" s="205">
        <f t="shared" si="11"/>
        <v>0</v>
      </c>
      <c r="L135" s="137"/>
      <c r="M135" s="173">
        <v>8</v>
      </c>
      <c r="N135" s="86">
        <v>12</v>
      </c>
      <c r="O135" s="82" t="s">
        <v>137</v>
      </c>
      <c r="P135" s="81"/>
      <c r="Q135" s="87" t="str">
        <f>IFERROR(H135*64/P135,"")</f>
        <v/>
      </c>
      <c r="R135" s="255"/>
      <c r="S135" s="161"/>
    </row>
    <row r="136" spans="1:22" ht="24" customHeight="1" x14ac:dyDescent="0.2">
      <c r="A136" s="36" t="s">
        <v>227</v>
      </c>
      <c r="B136" s="55" t="s">
        <v>227</v>
      </c>
      <c r="C136" s="55" t="s">
        <v>151</v>
      </c>
      <c r="D136" s="55" t="s">
        <v>229</v>
      </c>
      <c r="E136" s="238"/>
      <c r="F136" s="53" t="s">
        <v>289</v>
      </c>
      <c r="G136" s="76"/>
      <c r="H136" s="77"/>
      <c r="I136" s="78">
        <f t="shared" si="10"/>
        <v>0</v>
      </c>
      <c r="J136" s="79">
        <f>IF($F$4="EOP 1", VLOOKUP(C136&amp;F136&amp;$F$4,'Rebate Reference Table'!$E$5:$J$132,4,FALSE), VLOOKUP(C136&amp;F136&amp;$F$4,'Rebate Reference Table'!$F$5:$J$132,5,FALSE))</f>
        <v>30</v>
      </c>
      <c r="K136" s="205">
        <f t="shared" si="11"/>
        <v>0</v>
      </c>
      <c r="L136" s="137"/>
      <c r="M136" s="173">
        <v>8</v>
      </c>
      <c r="N136" s="86">
        <v>12</v>
      </c>
      <c r="O136" s="82" t="s">
        <v>137</v>
      </c>
      <c r="P136" s="81"/>
      <c r="Q136" s="87" t="str">
        <f>IFERROR(H136*64/P136,"")</f>
        <v/>
      </c>
      <c r="R136" s="256"/>
      <c r="S136" s="161"/>
    </row>
    <row r="137" spans="1:22" ht="24" customHeight="1" x14ac:dyDescent="0.2">
      <c r="A137" s="163" t="s">
        <v>227</v>
      </c>
      <c r="B137" s="164" t="s">
        <v>227</v>
      </c>
      <c r="C137" s="164" t="s">
        <v>209</v>
      </c>
      <c r="D137" s="164" t="s">
        <v>228</v>
      </c>
      <c r="E137" s="235" t="s">
        <v>209</v>
      </c>
      <c r="F137" s="119" t="s">
        <v>103</v>
      </c>
      <c r="G137" s="76"/>
      <c r="H137" s="77"/>
      <c r="I137" s="120">
        <f t="shared" si="10"/>
        <v>0</v>
      </c>
      <c r="J137" s="121">
        <f>IF($F$4="EOP 1", VLOOKUP(C137&amp;F137&amp;$F$4,'Rebate Reference Table'!$E$5:$J$132,3,FALSE), VLOOKUP(C137&amp;F137&amp;$F$4,'Rebate Reference Table'!$F$5:$J$132,5,FALSE))</f>
        <v>85</v>
      </c>
      <c r="K137" s="204">
        <f t="shared" si="11"/>
        <v>0</v>
      </c>
      <c r="L137" s="137"/>
      <c r="M137" s="172">
        <v>20</v>
      </c>
      <c r="N137" s="130">
        <v>20</v>
      </c>
      <c r="O137" s="122" t="s">
        <v>137</v>
      </c>
      <c r="P137" s="81"/>
      <c r="Q137" s="132" t="str">
        <f>IFERROR(H137*128/P137,"")</f>
        <v/>
      </c>
      <c r="R137" s="239" t="s">
        <v>197</v>
      </c>
      <c r="S137" s="161"/>
    </row>
    <row r="138" spans="1:22" ht="24" customHeight="1" x14ac:dyDescent="0.2">
      <c r="A138" s="163" t="s">
        <v>227</v>
      </c>
      <c r="B138" s="164" t="s">
        <v>227</v>
      </c>
      <c r="C138" s="164" t="s">
        <v>209</v>
      </c>
      <c r="D138" s="164" t="s">
        <v>229</v>
      </c>
      <c r="E138" s="236"/>
      <c r="F138" s="119" t="s">
        <v>271</v>
      </c>
      <c r="G138" s="76"/>
      <c r="H138" s="77"/>
      <c r="I138" s="120">
        <f t="shared" si="10"/>
        <v>0</v>
      </c>
      <c r="J138" s="121">
        <f>IF($F$4="EOP 1", VLOOKUP(C138&amp;F138&amp;$F$4,'Rebate Reference Table'!$E$5:$J$132,4,FALSE), VLOOKUP(C138&amp;F138&amp;$F$4,'Rebate Reference Table'!$F$5:$J$132,5,FALSE))</f>
        <v>120</v>
      </c>
      <c r="K138" s="204">
        <f t="shared" si="11"/>
        <v>0</v>
      </c>
      <c r="L138" s="187"/>
      <c r="M138" s="172">
        <v>20</v>
      </c>
      <c r="N138" s="130">
        <v>20</v>
      </c>
      <c r="O138" s="122" t="s">
        <v>137</v>
      </c>
      <c r="P138" s="81"/>
      <c r="Q138" s="132" t="str">
        <f>IFERROR(H138*128/P138,"")</f>
        <v/>
      </c>
      <c r="R138" s="240"/>
      <c r="S138" s="192"/>
      <c r="T138" s="193"/>
      <c r="U138" s="193"/>
      <c r="V138" s="193"/>
    </row>
    <row r="139" spans="1:22" ht="24" customHeight="1" x14ac:dyDescent="0.2">
      <c r="A139" s="68" t="s">
        <v>227</v>
      </c>
      <c r="B139" s="69"/>
      <c r="C139" s="69" t="s">
        <v>88</v>
      </c>
      <c r="D139" s="69" t="s">
        <v>228</v>
      </c>
      <c r="E139" s="271" t="s">
        <v>88</v>
      </c>
      <c r="F139" s="70" t="s">
        <v>91</v>
      </c>
      <c r="G139" s="76"/>
      <c r="H139" s="77"/>
      <c r="I139" s="78">
        <f t="shared" si="10"/>
        <v>0</v>
      </c>
      <c r="J139" s="79">
        <f>IF($F$4="EOP 1", VLOOKUP(C139&amp;F139&amp;$F$4,'Rebate Reference Table'!$E$5:$J$132,3,FALSE), VLOOKUP(C139&amp;F139&amp;$F$4,'Rebate Reference Table'!$F$5:$J$132,5,FALSE))</f>
        <v>10</v>
      </c>
      <c r="K139" s="78">
        <f t="shared" si="11"/>
        <v>0</v>
      </c>
      <c r="L139" s="137"/>
      <c r="M139" s="171" t="s">
        <v>123</v>
      </c>
      <c r="N139" s="82" t="s">
        <v>123</v>
      </c>
      <c r="O139" s="82" t="s">
        <v>127</v>
      </c>
      <c r="P139" s="81"/>
      <c r="Q139" s="83" t="str">
        <f>IFERROR((H139*320)/(P139*43.56),"")</f>
        <v/>
      </c>
      <c r="R139" s="255" t="s">
        <v>158</v>
      </c>
      <c r="S139" s="161"/>
    </row>
    <row r="140" spans="1:22" ht="24" customHeight="1" x14ac:dyDescent="0.2">
      <c r="A140" s="36" t="s">
        <v>227</v>
      </c>
      <c r="B140" s="55"/>
      <c r="C140" s="55" t="s">
        <v>88</v>
      </c>
      <c r="D140" s="55" t="s">
        <v>228</v>
      </c>
      <c r="E140" s="238"/>
      <c r="F140" s="37" t="s">
        <v>94</v>
      </c>
      <c r="G140" s="76"/>
      <c r="H140" s="77"/>
      <c r="I140" s="78">
        <f t="shared" si="10"/>
        <v>0</v>
      </c>
      <c r="J140" s="79">
        <f>IF($F$4="EOP 1", VLOOKUP(C140&amp;F140&amp;$F$4,'Rebate Reference Table'!$E$5:$J$132,3,FALSE), VLOOKUP(C140&amp;F140&amp;$F$4,'Rebate Reference Table'!$F$5:$J$132,5,FALSE))</f>
        <v>120</v>
      </c>
      <c r="K140" s="78">
        <f t="shared" si="11"/>
        <v>0</v>
      </c>
      <c r="L140" s="137"/>
      <c r="M140" s="173" t="s">
        <v>123</v>
      </c>
      <c r="N140" s="86" t="s">
        <v>123</v>
      </c>
      <c r="O140" s="82" t="s">
        <v>127</v>
      </c>
      <c r="P140" s="81"/>
      <c r="Q140" s="87" t="str">
        <f>IFERROR((H140*3840)/(P140*43.56),"")</f>
        <v/>
      </c>
      <c r="R140" s="256"/>
      <c r="S140" s="161"/>
    </row>
    <row r="141" spans="1:22" ht="24" customHeight="1" x14ac:dyDescent="0.2">
      <c r="A141" s="163" t="s">
        <v>227</v>
      </c>
      <c r="B141" s="164"/>
      <c r="C141" s="164" t="s">
        <v>61</v>
      </c>
      <c r="D141" s="164" t="s">
        <v>228</v>
      </c>
      <c r="E141" s="235" t="s">
        <v>61</v>
      </c>
      <c r="F141" s="119" t="s">
        <v>91</v>
      </c>
      <c r="G141" s="76"/>
      <c r="H141" s="77"/>
      <c r="I141" s="120">
        <f t="shared" si="10"/>
        <v>0</v>
      </c>
      <c r="J141" s="121">
        <f>IF($F$4="EOP 1", VLOOKUP(C141&amp;F141&amp;$F$4,'Rebate Reference Table'!$E$5:$J$132,3,FALSE), VLOOKUP(C141&amp;F141&amp;$F$4,'Rebate Reference Table'!$F$5:$J$132,5,FALSE))</f>
        <v>15</v>
      </c>
      <c r="K141" s="204">
        <f t="shared" si="11"/>
        <v>0</v>
      </c>
      <c r="L141" s="137"/>
      <c r="M141" s="172">
        <v>0.67</v>
      </c>
      <c r="N141" s="130">
        <v>1.5</v>
      </c>
      <c r="O141" s="122" t="s">
        <v>127</v>
      </c>
      <c r="P141" s="81"/>
      <c r="Q141" s="123" t="str">
        <f>IFERROR((H141*320)/(P141*43.56),"")</f>
        <v/>
      </c>
      <c r="R141" s="244" t="s">
        <v>159</v>
      </c>
      <c r="S141" s="161"/>
    </row>
    <row r="142" spans="1:22" ht="24" customHeight="1" x14ac:dyDescent="0.2">
      <c r="A142" s="163" t="s">
        <v>227</v>
      </c>
      <c r="B142" s="164"/>
      <c r="C142" s="164" t="s">
        <v>61</v>
      </c>
      <c r="D142" s="164" t="s">
        <v>228</v>
      </c>
      <c r="E142" s="236"/>
      <c r="F142" s="119" t="s">
        <v>94</v>
      </c>
      <c r="G142" s="76"/>
      <c r="H142" s="77"/>
      <c r="I142" s="120">
        <f t="shared" si="10"/>
        <v>0</v>
      </c>
      <c r="J142" s="121">
        <f>IF($F$4="EOP 1", VLOOKUP(C142&amp;F142&amp;$F$4,'Rebate Reference Table'!$E$5:$J$132,3,FALSE), VLOOKUP(C142&amp;F142&amp;$F$4,'Rebate Reference Table'!$F$5:$J$132,5,FALSE))</f>
        <v>180</v>
      </c>
      <c r="K142" s="204">
        <f t="shared" si="11"/>
        <v>0</v>
      </c>
      <c r="L142" s="137"/>
      <c r="M142" s="172">
        <v>0.67</v>
      </c>
      <c r="N142" s="130">
        <v>1.5</v>
      </c>
      <c r="O142" s="122" t="s">
        <v>127</v>
      </c>
      <c r="P142" s="81"/>
      <c r="Q142" s="132" t="str">
        <f>IFERROR((H142*3840)/(P142*43.56),"")</f>
        <v/>
      </c>
      <c r="R142" s="246"/>
      <c r="S142" s="161"/>
    </row>
    <row r="143" spans="1:22" ht="24" customHeight="1" x14ac:dyDescent="0.2">
      <c r="A143" s="36" t="s">
        <v>227</v>
      </c>
      <c r="B143" s="55"/>
      <c r="C143" s="55" t="s">
        <v>195</v>
      </c>
      <c r="D143" s="55" t="s">
        <v>228</v>
      </c>
      <c r="E143" s="185" t="s">
        <v>195</v>
      </c>
      <c r="F143" s="66" t="s">
        <v>97</v>
      </c>
      <c r="G143" s="76"/>
      <c r="H143" s="77"/>
      <c r="I143" s="78">
        <f t="shared" si="10"/>
        <v>0</v>
      </c>
      <c r="J143" s="79">
        <f>IF($F$4="EOP 1", VLOOKUP(C143&amp;F143&amp;$F$4,'Rebate Reference Table'!$E$5:$J$132,3,FALSE), VLOOKUP(C143&amp;F143&amp;$F$4,'Rebate Reference Table'!$F$5:$J$132,5,FALSE))</f>
        <v>18</v>
      </c>
      <c r="K143" s="205">
        <f t="shared" si="11"/>
        <v>0</v>
      </c>
      <c r="L143" s="137"/>
      <c r="M143" s="173" t="s">
        <v>123</v>
      </c>
      <c r="N143" s="86" t="s">
        <v>123</v>
      </c>
      <c r="O143" s="82" t="s">
        <v>137</v>
      </c>
      <c r="P143" s="81"/>
      <c r="Q143" s="87" t="str">
        <f>IFERROR(H143*16/P143,"")</f>
        <v/>
      </c>
      <c r="R143" s="160" t="s">
        <v>190</v>
      </c>
      <c r="S143" s="161"/>
    </row>
    <row r="144" spans="1:22" ht="24" customHeight="1" x14ac:dyDescent="0.2">
      <c r="L144" s="24"/>
    </row>
    <row r="145" spans="5:18" ht="24" customHeight="1" x14ac:dyDescent="0.2">
      <c r="L145" s="24"/>
    </row>
    <row r="146" spans="5:18" ht="24" customHeight="1" x14ac:dyDescent="0.2">
      <c r="L146" s="24"/>
    </row>
    <row r="147" spans="5:18" x14ac:dyDescent="0.2">
      <c r="F147" s="24"/>
    </row>
    <row r="151" spans="5:18" ht="30.75" customHeight="1" x14ac:dyDescent="0.2"/>
    <row r="153" spans="5:18" ht="20.25" x14ac:dyDescent="0.3">
      <c r="F153" s="24"/>
      <c r="G153" s="25"/>
      <c r="H153" s="26"/>
      <c r="I153" s="26"/>
      <c r="J153" s="27"/>
      <c r="K153" s="27"/>
      <c r="O153" s="34"/>
    </row>
    <row r="155" spans="5:18" x14ac:dyDescent="0.2">
      <c r="M155" s="39"/>
      <c r="N155" s="39"/>
      <c r="O155" s="39"/>
    </row>
    <row r="156" spans="5:18" x14ac:dyDescent="0.2">
      <c r="L156" s="27"/>
      <c r="M156" s="39"/>
      <c r="N156" s="39"/>
      <c r="O156" s="39"/>
    </row>
    <row r="157" spans="5:18" ht="15" x14ac:dyDescent="0.2">
      <c r="E157" s="40"/>
      <c r="F157" s="41"/>
      <c r="G157" s="42"/>
      <c r="H157" s="43"/>
      <c r="I157" s="43"/>
      <c r="J157" s="44"/>
      <c r="K157" s="44"/>
      <c r="M157" s="45"/>
      <c r="N157" s="45"/>
      <c r="O157" s="45"/>
      <c r="P157" s="43"/>
      <c r="Q157" s="46"/>
      <c r="R157" s="47"/>
    </row>
    <row r="158" spans="5:18" ht="15" x14ac:dyDescent="0.2">
      <c r="E158" s="40"/>
      <c r="F158" s="41"/>
      <c r="G158" s="42"/>
      <c r="H158" s="43"/>
      <c r="I158" s="43"/>
      <c r="J158" s="44"/>
      <c r="K158" s="44"/>
      <c r="M158" s="45"/>
      <c r="N158" s="45"/>
      <c r="O158" s="45"/>
      <c r="P158" s="43"/>
      <c r="Q158" s="46"/>
      <c r="R158" s="47"/>
    </row>
    <row r="159" spans="5:18" ht="15" x14ac:dyDescent="0.2">
      <c r="E159" s="40"/>
      <c r="F159" s="41"/>
      <c r="G159" s="42"/>
      <c r="H159" s="43"/>
      <c r="I159" s="43"/>
      <c r="J159" s="44"/>
      <c r="K159" s="44"/>
      <c r="M159" s="45"/>
      <c r="N159" s="45"/>
      <c r="O159" s="45"/>
      <c r="P159" s="43"/>
      <c r="Q159" s="20"/>
      <c r="R159" s="21"/>
    </row>
    <row r="160" spans="5:18" ht="12.75" customHeight="1" x14ac:dyDescent="0.2">
      <c r="L160" s="44"/>
    </row>
    <row r="161" spans="5:12" ht="12.75" customHeight="1" x14ac:dyDescent="0.2">
      <c r="L161" s="44"/>
    </row>
    <row r="162" spans="5:12" ht="14.25" x14ac:dyDescent="0.2">
      <c r="L162" s="44"/>
    </row>
    <row r="163" spans="5:12" x14ac:dyDescent="0.2">
      <c r="E163" s="268"/>
      <c r="F163" s="268"/>
      <c r="G163" s="268"/>
    </row>
  </sheetData>
  <sheetProtection algorithmName="SHA-512" hashValue="6nS36ZZOXDV3+f2loFCGMl+NlFDI+obYSqp4cWCQzqzI/81pYrYl5d9WA3NgNA6q9lxYQiO4RgD/f6BKSYQKbQ==" saltValue="xVqUbUG8vB7uuCqliPtZew==" spinCount="100000" sheet="1" formatCells="0" formatRows="0" selectLockedCells="1" autoFilter="0"/>
  <mergeCells count="102">
    <mergeCell ref="E7:H7"/>
    <mergeCell ref="J7:K7"/>
    <mergeCell ref="H2:J5"/>
    <mergeCell ref="E3:F3"/>
    <mergeCell ref="N7:P10"/>
    <mergeCell ref="N6:P6"/>
    <mergeCell ref="E55:E56"/>
    <mergeCell ref="R55:R56"/>
    <mergeCell ref="M4:R5"/>
    <mergeCell ref="R44:R45"/>
    <mergeCell ref="E44:E45"/>
    <mergeCell ref="E16:E18"/>
    <mergeCell ref="R16:R18"/>
    <mergeCell ref="E19:E22"/>
    <mergeCell ref="R19:R22"/>
    <mergeCell ref="E35:E36"/>
    <mergeCell ref="E31:E33"/>
    <mergeCell ref="E41:E42"/>
    <mergeCell ref="E118:E121"/>
    <mergeCell ref="R131:R133"/>
    <mergeCell ref="R128:R130"/>
    <mergeCell ref="E139:E140"/>
    <mergeCell ref="N11:P11"/>
    <mergeCell ref="E38:E40"/>
    <mergeCell ref="R38:R40"/>
    <mergeCell ref="E69:E70"/>
    <mergeCell ref="E66:E67"/>
    <mergeCell ref="E71:E72"/>
    <mergeCell ref="R66:R67"/>
    <mergeCell ref="R71:R72"/>
    <mergeCell ref="R134:R136"/>
    <mergeCell ref="E134:E136"/>
    <mergeCell ref="E137:E138"/>
    <mergeCell ref="E47:E50"/>
    <mergeCell ref="R47:R50"/>
    <mergeCell ref="E60:E61"/>
    <mergeCell ref="E62:E63"/>
    <mergeCell ref="E163:G163"/>
    <mergeCell ref="E141:E142"/>
    <mergeCell ref="R141:R142"/>
    <mergeCell ref="R24:R25"/>
    <mergeCell ref="E24:E25"/>
    <mergeCell ref="E87:E89"/>
    <mergeCell ref="R96:R98"/>
    <mergeCell ref="E96:E98"/>
    <mergeCell ref="E27:E28"/>
    <mergeCell ref="R27:R28"/>
    <mergeCell ref="E74:E76"/>
    <mergeCell ref="R58:R59"/>
    <mergeCell ref="R62:R63"/>
    <mergeCell ref="R64:R65"/>
    <mergeCell ref="R60:R61"/>
    <mergeCell ref="E51:E54"/>
    <mergeCell ref="R137:R138"/>
    <mergeCell ref="R122:R125"/>
    <mergeCell ref="E126:E127"/>
    <mergeCell ref="R126:R127"/>
    <mergeCell ref="R118:R121"/>
    <mergeCell ref="E131:E133"/>
    <mergeCell ref="E122:E125"/>
    <mergeCell ref="E128:E130"/>
    <mergeCell ref="R139:R140"/>
    <mergeCell ref="F9:H9"/>
    <mergeCell ref="R87:R89"/>
    <mergeCell ref="R41:R42"/>
    <mergeCell ref="R74:R76"/>
    <mergeCell ref="R35:R36"/>
    <mergeCell ref="R77:R81"/>
    <mergeCell ref="F11:H11"/>
    <mergeCell ref="R108:R109"/>
    <mergeCell ref="R100:R101"/>
    <mergeCell ref="R51:R54"/>
    <mergeCell ref="R31:R33"/>
    <mergeCell ref="F13:H13"/>
    <mergeCell ref="N16:N18"/>
    <mergeCell ref="N19:N22"/>
    <mergeCell ref="R115:R117"/>
    <mergeCell ref="F10:H10"/>
    <mergeCell ref="E82:E83"/>
    <mergeCell ref="E84:E85"/>
    <mergeCell ref="R82:R83"/>
    <mergeCell ref="R84:R85"/>
    <mergeCell ref="M1:N1"/>
    <mergeCell ref="R111:R114"/>
    <mergeCell ref="E115:E117"/>
    <mergeCell ref="R102:R106"/>
    <mergeCell ref="E77:E81"/>
    <mergeCell ref="E100:E101"/>
    <mergeCell ref="E108:E109"/>
    <mergeCell ref="E94:E95"/>
    <mergeCell ref="E102:E106"/>
    <mergeCell ref="E90:E92"/>
    <mergeCell ref="R90:R92"/>
    <mergeCell ref="E58:E59"/>
    <mergeCell ref="E64:E65"/>
    <mergeCell ref="R69:R70"/>
    <mergeCell ref="R94:R95"/>
    <mergeCell ref="E111:E114"/>
    <mergeCell ref="H1:J1"/>
    <mergeCell ref="F8:H8"/>
    <mergeCell ref="J6:K6"/>
    <mergeCell ref="E6:H6"/>
  </mergeCells>
  <phoneticPr fontId="7" type="noConversion"/>
  <dataValidations count="11">
    <dataValidation type="whole" operator="greaterThanOrEqual" allowBlank="1" showInputMessage="1" showErrorMessage="1" error="Must be 32 or more units" prompt="32 or more" sqref="H17" xr:uid="{410C2827-E483-4E77-91D1-11485466A766}">
      <formula1>32</formula1>
    </dataValidation>
    <dataValidation type="whole" operator="greaterThanOrEqual" allowBlank="1" showInputMessage="1" showErrorMessage="1" error="Must be 6 or more units" prompt="6 or more" sqref="H129 H52:H53 H28 H36 H40 H21 H104" xr:uid="{44760C71-73D1-447E-A209-283E31C7262B}">
      <formula1>6</formula1>
    </dataValidation>
    <dataValidation type="whole" operator="greaterThanOrEqual" allowBlank="1" showInputMessage="1" showErrorMessage="1" error="Must be 8 or more units" prompt="8 or more" sqref="H61 H63 H67 H72 H42 H95 H22 H45 H136" xr:uid="{F32B8169-326D-4F6D-9E1C-F26EFCC95272}">
      <formula1>8</formula1>
    </dataValidation>
    <dataValidation type="whole" operator="greaterThanOrEqual" allowBlank="1" showInputMessage="1" showErrorMessage="1" error="Must be 12 or more units" prompt="12 or more" sqref="H112 H123 H101 H119 H116" xr:uid="{D75CC7DB-CA7D-4080-A224-1AE5439C3104}">
      <formula1>12</formula1>
    </dataValidation>
    <dataValidation type="whole" operator="greaterThanOrEqual" allowBlank="1" showInputMessage="1" showErrorMessage="1" error="Must be 4 or more units" prompt="4 or more" sqref="H133 H33 H70 H39 H56 H76 H78 H92 H98 H49:H50 H109 H89 H80:H81" xr:uid="{2F820F4A-B0F0-43DF-9B4B-432B3A538950}">
      <formula1>4</formula1>
    </dataValidation>
    <dataValidation type="whole" operator="lessThanOrEqual" allowBlank="1" showInputMessage="1" showErrorMessage="1" error="Must be 1 - 3 units" prompt="3 or less" sqref="H88" xr:uid="{5E73B2B2-F433-4900-B71E-82BC7C490E67}">
      <formula1>3</formula1>
    </dataValidation>
    <dataValidation type="whole" operator="lessThanOrEqual" allowBlank="1" showInputMessage="1" showErrorMessage="1" error="Must be 1 - 7 units" prompt="less than 7" sqref="H41" xr:uid="{2B67E331-C827-41ED-8DE7-D46F7FBC9828}">
      <formula1>7</formula1>
    </dataValidation>
    <dataValidation type="whole" operator="greaterThanOrEqual" allowBlank="1" showInputMessage="1" showErrorMessage="1" error="Must be 50 or more units" prompt="50 or more" sqref="H59 H65" xr:uid="{ED619A14-02C9-4F17-8E9E-3F7C8F9F8BFF}">
      <formula1>50</formula1>
    </dataValidation>
    <dataValidation type="whole" operator="greaterThanOrEqual" allowBlank="1" showInputMessage="1" showErrorMessage="1" error="Must be 2 or more units" prompt="2 or more" sqref="H54" xr:uid="{4E09F19B-FB6B-4A03-A61F-7E04A338579A}">
      <formula1>2</formula1>
    </dataValidation>
    <dataValidation type="whole" operator="greaterThanOrEqual" allowBlank="1" showInputMessage="1" showErrorMessage="1" error="Must be 48 or more units" prompt="48 or more" sqref="H18" xr:uid="{1FC57901-D4BC-4395-9DD2-6741B74AB6B0}">
      <formula1>48</formula1>
    </dataValidation>
    <dataValidation type="whole" operator="greaterThanOrEqual" allowBlank="1" showInputMessage="1" showErrorMessage="1" error="4 or more units" prompt="4 or more" sqref="H138" xr:uid="{E4DE1A52-6FCE-47D6-9B04-CC89B2A3EC0D}">
      <formula1>4</formula1>
    </dataValidation>
  </dataValidations>
  <hyperlinks>
    <hyperlink ref="M3" r:id="rId1" xr:uid="{51E5B80F-7327-4525-B635-1EAEC4BBFA79}"/>
  </hyperlinks>
  <pageMargins left="0.45" right="0.45" top="0.5" bottom="0.5" header="0.3" footer="0.3"/>
  <pageSetup scale="70" orientation="landscape" r:id="rId2"/>
  <customProperties>
    <customPr name="CalcHideBlankRows" r:id="rId3"/>
  </customProperties>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87243878-0080-4F23-99B0-63AF3AEDCDB9}">
          <x14:formula1>
            <xm:f>'Rebate Reference Table'!$A$1:$A$2</xm:f>
          </x14:formula1>
          <xm:sqref>F4</xm:sqref>
        </x14:dataValidation>
        <x14:dataValidation type="list" allowBlank="1" showInputMessage="1" showErrorMessage="1" xr:uid="{2500FAEF-1AE7-46FB-9D71-70B3CF4D111F}">
          <x14:formula1>
            <xm:f>'Rebate Reference Table'!$A$140:$A$142</xm:f>
          </x14:formula1>
          <xm:sqref>D58:D98 D27:D56 D16:D25 D100:D143</xm:sqref>
        </x14:dataValidation>
        <x14:dataValidation type="list" allowBlank="1" showInputMessage="1" showErrorMessage="1" xr:uid="{7EEAD5C6-1BDE-624C-AFD5-A5B8A70E33A3}">
          <x14:formula1>
            <xm:f>'Rebate Reference Table'!L1:L3</xm:f>
          </x14:formula1>
          <xm:sqref>F5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F7370-EB2A-4097-BE45-186C7B1B6EC8}">
  <sheetPr codeName="Sheet2"/>
  <dimension ref="A1:L142"/>
  <sheetViews>
    <sheetView zoomScale="70" zoomScaleNormal="70" workbookViewId="0">
      <pane ySplit="3" topLeftCell="A34" activePane="bottomLeft" state="frozen"/>
      <selection pane="bottomLeft" activeCell="D74" sqref="D74:D77"/>
    </sheetView>
  </sheetViews>
  <sheetFormatPr defaultColWidth="8.875" defaultRowHeight="12.75" x14ac:dyDescent="0.2"/>
  <cols>
    <col min="1" max="1" width="14.875" customWidth="1"/>
    <col min="2" max="2" width="42.875" customWidth="1"/>
    <col min="3" max="3" width="30.125" style="7" customWidth="1"/>
    <col min="4" max="4" width="47.125" style="7" customWidth="1"/>
    <col min="5" max="5" width="54" style="7" customWidth="1"/>
    <col min="6" max="6" width="74.625" style="7" customWidth="1"/>
    <col min="7" max="7" width="17.5" style="4" customWidth="1"/>
    <col min="8" max="8" width="27" style="4" customWidth="1"/>
    <col min="9" max="9" width="22" style="3" customWidth="1"/>
    <col min="10" max="10" width="22" style="4" customWidth="1"/>
  </cols>
  <sheetData>
    <row r="1" spans="1:12" ht="24.75" customHeight="1" x14ac:dyDescent="0.25">
      <c r="A1" s="13" t="s">
        <v>320</v>
      </c>
      <c r="E1" s="14"/>
      <c r="F1" s="14"/>
      <c r="G1" s="14"/>
      <c r="H1" s="15"/>
      <c r="I1" s="16"/>
      <c r="J1" s="14"/>
      <c r="L1" t="s">
        <v>301</v>
      </c>
    </row>
    <row r="2" spans="1:12" ht="18" x14ac:dyDescent="0.25">
      <c r="A2" s="13" t="s">
        <v>321</v>
      </c>
      <c r="I2" s="49" t="s">
        <v>221</v>
      </c>
      <c r="J2" s="49" t="s">
        <v>222</v>
      </c>
      <c r="L2" t="s">
        <v>333</v>
      </c>
    </row>
    <row r="3" spans="1:12" s="1" customFormat="1" ht="25.5" x14ac:dyDescent="0.2">
      <c r="A3" s="155" t="s">
        <v>54</v>
      </c>
      <c r="B3" s="142" t="s">
        <v>1</v>
      </c>
      <c r="C3" s="142" t="s">
        <v>90</v>
      </c>
      <c r="D3" s="142" t="s">
        <v>55</v>
      </c>
      <c r="E3" s="142" t="s">
        <v>224</v>
      </c>
      <c r="F3" s="142" t="s">
        <v>225</v>
      </c>
      <c r="G3" s="143" t="s">
        <v>218</v>
      </c>
      <c r="H3" s="143" t="s">
        <v>219</v>
      </c>
      <c r="I3" s="143" t="s">
        <v>220</v>
      </c>
      <c r="J3" s="143" t="s">
        <v>223</v>
      </c>
      <c r="L3" t="s">
        <v>300</v>
      </c>
    </row>
    <row r="4" spans="1:12" s="1" customFormat="1" x14ac:dyDescent="0.2">
      <c r="A4" s="151"/>
      <c r="B4" s="145" t="s">
        <v>0</v>
      </c>
      <c r="C4" s="146" t="s">
        <v>0</v>
      </c>
      <c r="D4" s="152"/>
      <c r="E4" s="152"/>
      <c r="F4" s="152"/>
      <c r="G4" s="153"/>
      <c r="H4" s="153"/>
      <c r="I4" s="154"/>
      <c r="J4" s="153"/>
    </row>
    <row r="5" spans="1:12" x14ac:dyDescent="0.2">
      <c r="A5" s="58">
        <v>10010225</v>
      </c>
      <c r="B5" s="59" t="s">
        <v>2</v>
      </c>
      <c r="C5" s="60" t="s">
        <v>142</v>
      </c>
      <c r="D5" s="60" t="s">
        <v>91</v>
      </c>
      <c r="E5" s="60" t="str">
        <f t="shared" ref="E5:E10" si="0">CONCATENATE(C5,D5,$A$1)</f>
        <v>4-SPEED XT2.5 gal. bottleEOP 1</v>
      </c>
      <c r="F5" s="60" t="str">
        <f t="shared" ref="F5:F10" si="1">CONCATENATE(C5,D5,$A$2)</f>
        <v>4-SPEED XT2.5 gal. bottleEOP 2</v>
      </c>
      <c r="G5" s="10">
        <v>15</v>
      </c>
      <c r="H5" s="10"/>
      <c r="I5" s="2"/>
      <c r="J5" s="10">
        <v>5</v>
      </c>
    </row>
    <row r="6" spans="1:12" x14ac:dyDescent="0.2">
      <c r="A6" s="58">
        <v>10010225</v>
      </c>
      <c r="B6" s="59" t="s">
        <v>2</v>
      </c>
      <c r="C6" s="60" t="s">
        <v>142</v>
      </c>
      <c r="D6" s="60" t="s">
        <v>143</v>
      </c>
      <c r="E6" s="60" t="str">
        <f t="shared" si="0"/>
        <v>4-SPEED XT2.5 gal. bottle Volume 12+EOP 1</v>
      </c>
      <c r="F6" s="60" t="str">
        <f t="shared" si="1"/>
        <v>4-SPEED XT2.5 gal. bottle Volume 12+EOP 2</v>
      </c>
      <c r="G6" s="10"/>
      <c r="H6" s="10">
        <v>20</v>
      </c>
      <c r="I6" s="2"/>
      <c r="J6" s="10">
        <v>0</v>
      </c>
    </row>
    <row r="7" spans="1:12" x14ac:dyDescent="0.2">
      <c r="A7" s="58">
        <v>10850464</v>
      </c>
      <c r="B7" s="59" t="s">
        <v>199</v>
      </c>
      <c r="C7" s="60" t="s">
        <v>198</v>
      </c>
      <c r="D7" s="60" t="s">
        <v>98</v>
      </c>
      <c r="E7" s="60" t="str">
        <f t="shared" si="0"/>
        <v>ALLSTAR64 fl oz. bottleEOP 1</v>
      </c>
      <c r="F7" s="60" t="str">
        <f t="shared" si="1"/>
        <v>ALLSTAR64 fl oz. bottleEOP 2</v>
      </c>
      <c r="G7" s="10">
        <v>7</v>
      </c>
      <c r="H7" s="48"/>
      <c r="I7" s="2"/>
      <c r="J7" s="10">
        <v>5</v>
      </c>
    </row>
    <row r="8" spans="1:12" x14ac:dyDescent="0.2">
      <c r="A8" s="58">
        <v>10850225</v>
      </c>
      <c r="B8" s="59" t="s">
        <v>200</v>
      </c>
      <c r="C8" s="60" t="s">
        <v>198</v>
      </c>
      <c r="D8" s="60" t="s">
        <v>91</v>
      </c>
      <c r="E8" s="60" t="str">
        <f t="shared" si="0"/>
        <v>ALLSTAR2.5 gal. bottleEOP 1</v>
      </c>
      <c r="F8" s="60" t="str">
        <f t="shared" si="1"/>
        <v>ALLSTAR2.5 gal. bottleEOP 2</v>
      </c>
      <c r="G8" s="10">
        <v>30</v>
      </c>
      <c r="H8" s="48"/>
      <c r="I8" s="2"/>
      <c r="J8" s="10">
        <v>20</v>
      </c>
    </row>
    <row r="9" spans="1:12" x14ac:dyDescent="0.2">
      <c r="A9" s="58">
        <v>10850225</v>
      </c>
      <c r="B9" s="59" t="s">
        <v>200</v>
      </c>
      <c r="C9" s="60" t="s">
        <v>198</v>
      </c>
      <c r="D9" s="60" t="s">
        <v>145</v>
      </c>
      <c r="E9" s="60" t="str">
        <f t="shared" si="0"/>
        <v>ALLSTAR2.5 gal. bottle Volume 6+EOP 1</v>
      </c>
      <c r="F9" s="60" t="str">
        <f t="shared" si="1"/>
        <v>ALLSTAR2.5 gal. bottle Volume 6+EOP 2</v>
      </c>
      <c r="G9" s="10"/>
      <c r="H9" s="10">
        <v>35</v>
      </c>
      <c r="I9" s="2"/>
      <c r="J9" s="10">
        <v>0</v>
      </c>
    </row>
    <row r="10" spans="1:12" x14ac:dyDescent="0.2">
      <c r="A10" s="58">
        <v>10850030</v>
      </c>
      <c r="B10" s="59" t="s">
        <v>201</v>
      </c>
      <c r="C10" s="60" t="s">
        <v>198</v>
      </c>
      <c r="D10" s="60" t="s">
        <v>94</v>
      </c>
      <c r="E10" s="60" t="str">
        <f t="shared" si="0"/>
        <v>ALLSTAR30 gal. drumEOP 1</v>
      </c>
      <c r="F10" s="60" t="str">
        <f t="shared" si="1"/>
        <v>ALLSTAR30 gal. drumEOP 2</v>
      </c>
      <c r="G10" s="10">
        <v>420</v>
      </c>
      <c r="H10" s="48"/>
      <c r="I10" s="2"/>
      <c r="J10" s="10">
        <v>240</v>
      </c>
    </row>
    <row r="11" spans="1:12" x14ac:dyDescent="0.2">
      <c r="A11" s="58">
        <v>10850265</v>
      </c>
      <c r="B11" s="59" t="s">
        <v>215</v>
      </c>
      <c r="C11" s="60" t="s">
        <v>198</v>
      </c>
      <c r="D11" s="60" t="s">
        <v>216</v>
      </c>
      <c r="E11" s="60" t="str">
        <f>CONCATENATE(C11,D11,$A$1)</f>
        <v>ALLSTAR265 gal. toteEOP 1</v>
      </c>
      <c r="F11" s="60" t="str">
        <f>CONCATENATE(C11,D11,$A$2)</f>
        <v>ALLSTAR265 gal. toteEOP 2</v>
      </c>
      <c r="G11" s="10">
        <v>3710</v>
      </c>
      <c r="H11" s="48"/>
      <c r="I11" s="2"/>
      <c r="J11" s="10">
        <v>2120</v>
      </c>
    </row>
    <row r="12" spans="1:12" x14ac:dyDescent="0.2">
      <c r="A12" s="58">
        <v>10583050</v>
      </c>
      <c r="B12" s="59" t="s">
        <v>3</v>
      </c>
      <c r="C12" s="60" t="s">
        <v>74</v>
      </c>
      <c r="D12" s="60" t="s">
        <v>92</v>
      </c>
      <c r="E12" s="60" t="str">
        <f t="shared" ref="E12:E132" si="2">CONCATENATE(C12,D12,$A$1)</f>
        <v>BROADSTAR50 lb. bagEOP 1</v>
      </c>
      <c r="F12" s="60" t="str">
        <f t="shared" ref="F12:F132" si="3">CONCATENATE(C12,D12,$A$2)</f>
        <v>BROADSTAR50 lb. bagEOP 2</v>
      </c>
      <c r="G12" s="10">
        <v>15</v>
      </c>
      <c r="H12" s="2"/>
      <c r="I12" s="2"/>
      <c r="J12" s="10">
        <v>3</v>
      </c>
    </row>
    <row r="13" spans="1:12" x14ac:dyDescent="0.2">
      <c r="A13" s="58">
        <v>10701401</v>
      </c>
      <c r="B13" s="59" t="s">
        <v>4</v>
      </c>
      <c r="C13" s="60" t="s">
        <v>87</v>
      </c>
      <c r="D13" s="60" t="s">
        <v>112</v>
      </c>
      <c r="E13" s="60" t="str">
        <f t="shared" si="2"/>
        <v>CELERO1 lb. bottleEOP 1</v>
      </c>
      <c r="F13" s="60" t="str">
        <f t="shared" si="3"/>
        <v>CELERO1 lb. bottleEOP 2</v>
      </c>
      <c r="G13" s="10">
        <v>35</v>
      </c>
      <c r="H13" s="2"/>
      <c r="I13" s="2"/>
      <c r="J13" s="10">
        <v>4</v>
      </c>
    </row>
    <row r="14" spans="1:12" x14ac:dyDescent="0.2">
      <c r="A14" s="58">
        <v>10701401</v>
      </c>
      <c r="B14" s="59" t="s">
        <v>4</v>
      </c>
      <c r="C14" s="60" t="s">
        <v>87</v>
      </c>
      <c r="D14" s="60" t="s">
        <v>144</v>
      </c>
      <c r="E14" s="60" t="str">
        <f t="shared" ref="E14" si="4">CONCATENATE(C14,D14,$A$1)</f>
        <v>CELERO1 lb. bottle Volume 4+EOP 1</v>
      </c>
      <c r="F14" s="60" t="str">
        <f t="shared" ref="F14" si="5">CONCATENATE(C14,D14,$A$2)</f>
        <v>CELERO1 lb. bottle Volume 4+EOP 2</v>
      </c>
      <c r="G14" s="10"/>
      <c r="H14" s="19">
        <v>55</v>
      </c>
      <c r="I14" s="2"/>
      <c r="J14" s="10">
        <v>0</v>
      </c>
    </row>
    <row r="15" spans="1:12" x14ac:dyDescent="0.2">
      <c r="A15" s="58">
        <v>10699170</v>
      </c>
      <c r="B15" s="59" t="s">
        <v>5</v>
      </c>
      <c r="C15" s="60" t="s">
        <v>86</v>
      </c>
      <c r="D15" s="60" t="s">
        <v>113</v>
      </c>
      <c r="E15" s="60" t="str">
        <f t="shared" si="2"/>
        <v>CERTAINTY1.25 wt oz. bottleEOP 1</v>
      </c>
      <c r="F15" s="60" t="str">
        <f t="shared" si="3"/>
        <v>CERTAINTY1.25 wt oz. bottleEOP 2</v>
      </c>
      <c r="G15" s="10">
        <v>30</v>
      </c>
      <c r="H15" s="2"/>
      <c r="I15" s="2"/>
      <c r="J15" s="10">
        <v>2</v>
      </c>
    </row>
    <row r="16" spans="1:12" x14ac:dyDescent="0.2">
      <c r="A16" s="58">
        <v>10555225</v>
      </c>
      <c r="B16" s="59" t="s">
        <v>6</v>
      </c>
      <c r="C16" s="60" t="s">
        <v>69</v>
      </c>
      <c r="D16" s="60" t="s">
        <v>91</v>
      </c>
      <c r="E16" s="60" t="str">
        <f t="shared" si="2"/>
        <v>CHANGE UP2.5 gal. bottleEOP 1</v>
      </c>
      <c r="F16" s="60" t="str">
        <f t="shared" si="3"/>
        <v>CHANGE UP2.5 gal. bottleEOP 2</v>
      </c>
      <c r="G16" s="10">
        <v>15</v>
      </c>
      <c r="H16" s="2"/>
      <c r="I16" s="2"/>
      <c r="J16" s="10">
        <v>5</v>
      </c>
    </row>
    <row r="17" spans="1:10" x14ac:dyDescent="0.2">
      <c r="A17" s="58">
        <v>10555225</v>
      </c>
      <c r="B17" s="59" t="s">
        <v>6</v>
      </c>
      <c r="C17" s="60" t="s">
        <v>69</v>
      </c>
      <c r="D17" s="60" t="s">
        <v>143</v>
      </c>
      <c r="E17" s="60" t="str">
        <f t="shared" ref="E17" si="6">CONCATENATE(C17,D17,$A$1)</f>
        <v>CHANGE UP2.5 gal. bottle Volume 12+EOP 1</v>
      </c>
      <c r="F17" s="60" t="str">
        <f t="shared" ref="F17" si="7">CONCATENATE(C17,D17,$A$2)</f>
        <v>CHANGE UP2.5 gal. bottle Volume 12+EOP 2</v>
      </c>
      <c r="G17" s="10"/>
      <c r="H17" s="10">
        <v>20</v>
      </c>
      <c r="I17" s="2"/>
      <c r="J17" s="10">
        <v>0</v>
      </c>
    </row>
    <row r="18" spans="1:10" x14ac:dyDescent="0.2">
      <c r="A18" s="58">
        <v>10555030</v>
      </c>
      <c r="B18" s="59" t="s">
        <v>7</v>
      </c>
      <c r="C18" s="60" t="s">
        <v>69</v>
      </c>
      <c r="D18" s="60" t="s">
        <v>94</v>
      </c>
      <c r="E18" s="60" t="str">
        <f t="shared" si="2"/>
        <v>CHANGE UP30 gal. drumEOP 1</v>
      </c>
      <c r="F18" s="60" t="str">
        <f t="shared" si="3"/>
        <v>CHANGE UP30 gal. drumEOP 2</v>
      </c>
      <c r="G18" s="10">
        <v>240</v>
      </c>
      <c r="H18" s="2"/>
      <c r="I18" s="2"/>
      <c r="J18" s="10">
        <v>60</v>
      </c>
    </row>
    <row r="19" spans="1:10" x14ac:dyDescent="0.2">
      <c r="A19" s="58">
        <v>10555250</v>
      </c>
      <c r="B19" s="61" t="s">
        <v>111</v>
      </c>
      <c r="C19" s="60" t="s">
        <v>69</v>
      </c>
      <c r="D19" s="60" t="s">
        <v>95</v>
      </c>
      <c r="E19" s="60" t="str">
        <f t="shared" si="2"/>
        <v>CHANGE UP250 gal. toteEOP 1</v>
      </c>
      <c r="F19" s="60" t="str">
        <f t="shared" si="3"/>
        <v>CHANGE UP250 gal. toteEOP 2</v>
      </c>
      <c r="G19" s="10">
        <v>2000</v>
      </c>
      <c r="H19" s="2"/>
      <c r="I19" s="2"/>
      <c r="J19" s="10">
        <v>500</v>
      </c>
    </row>
    <row r="20" spans="1:10" x14ac:dyDescent="0.2">
      <c r="A20" s="58">
        <v>10070225</v>
      </c>
      <c r="B20" s="59" t="s">
        <v>8</v>
      </c>
      <c r="C20" s="60" t="s">
        <v>56</v>
      </c>
      <c r="D20" s="60" t="s">
        <v>91</v>
      </c>
      <c r="E20" s="60" t="str">
        <f t="shared" si="2"/>
        <v>COOL POWER2.5 gal. bottleEOP 1</v>
      </c>
      <c r="F20" s="60" t="str">
        <f t="shared" si="3"/>
        <v>COOL POWER2.5 gal. bottleEOP 2</v>
      </c>
      <c r="G20" s="10">
        <v>15</v>
      </c>
      <c r="H20" s="10"/>
      <c r="I20" s="2"/>
      <c r="J20" s="10">
        <v>5</v>
      </c>
    </row>
    <row r="21" spans="1:10" x14ac:dyDescent="0.2">
      <c r="A21" s="58">
        <v>10070225</v>
      </c>
      <c r="B21" s="59" t="s">
        <v>8</v>
      </c>
      <c r="C21" s="60" t="s">
        <v>56</v>
      </c>
      <c r="D21" s="60" t="s">
        <v>143</v>
      </c>
      <c r="E21" s="60" t="str">
        <f t="shared" ref="E21" si="8">CONCATENATE(C21,D21,$A$1)</f>
        <v>COOL POWER2.5 gal. bottle Volume 12+EOP 1</v>
      </c>
      <c r="F21" s="60" t="str">
        <f t="shared" ref="F21" si="9">CONCATENATE(C21,D21,$A$2)</f>
        <v>COOL POWER2.5 gal. bottle Volume 12+EOP 2</v>
      </c>
      <c r="G21" s="10"/>
      <c r="H21" s="10">
        <v>20</v>
      </c>
      <c r="I21" s="2"/>
      <c r="J21" s="10">
        <v>0</v>
      </c>
    </row>
    <row r="22" spans="1:10" x14ac:dyDescent="0.2">
      <c r="A22" s="58">
        <v>10070030</v>
      </c>
      <c r="B22" s="59" t="s">
        <v>9</v>
      </c>
      <c r="C22" s="60" t="s">
        <v>56</v>
      </c>
      <c r="D22" s="60" t="s">
        <v>94</v>
      </c>
      <c r="E22" s="60" t="str">
        <f t="shared" si="2"/>
        <v>COOL POWER30 gal. drumEOP 1</v>
      </c>
      <c r="F22" s="60" t="str">
        <f t="shared" si="3"/>
        <v>COOL POWER30 gal. drumEOP 2</v>
      </c>
      <c r="G22" s="10">
        <v>240</v>
      </c>
      <c r="H22" s="2"/>
      <c r="I22" s="2"/>
      <c r="J22" s="10">
        <v>60</v>
      </c>
    </row>
    <row r="23" spans="1:10" x14ac:dyDescent="0.2">
      <c r="A23" s="58">
        <v>10111225</v>
      </c>
      <c r="B23" s="59" t="s">
        <v>10</v>
      </c>
      <c r="C23" s="60" t="s">
        <v>57</v>
      </c>
      <c r="D23" s="60" t="s">
        <v>91</v>
      </c>
      <c r="E23" s="60" t="str">
        <f t="shared" si="2"/>
        <v>ESCALADE 22.5 gal. bottleEOP 1</v>
      </c>
      <c r="F23" s="60" t="str">
        <f t="shared" si="3"/>
        <v>ESCALADE 22.5 gal. bottleEOP 2</v>
      </c>
      <c r="G23" s="10">
        <v>15</v>
      </c>
      <c r="H23" s="10"/>
      <c r="I23" s="2"/>
      <c r="J23" s="10">
        <v>5</v>
      </c>
    </row>
    <row r="24" spans="1:10" x14ac:dyDescent="0.2">
      <c r="A24" s="58">
        <v>10111225</v>
      </c>
      <c r="B24" s="59" t="s">
        <v>10</v>
      </c>
      <c r="C24" s="60" t="s">
        <v>57</v>
      </c>
      <c r="D24" s="60" t="s">
        <v>143</v>
      </c>
      <c r="E24" s="60" t="str">
        <f t="shared" ref="E24" si="10">CONCATENATE(C24,D24,$A$1)</f>
        <v>ESCALADE 22.5 gal. bottle Volume 12+EOP 1</v>
      </c>
      <c r="F24" s="60" t="str">
        <f t="shared" ref="F24" si="11">CONCATENATE(C24,D24,$A$2)</f>
        <v>ESCALADE 22.5 gal. bottle Volume 12+EOP 2</v>
      </c>
      <c r="G24" s="10"/>
      <c r="H24" s="10">
        <v>20</v>
      </c>
      <c r="I24" s="2"/>
      <c r="J24" s="10">
        <v>0</v>
      </c>
    </row>
    <row r="25" spans="1:10" x14ac:dyDescent="0.2">
      <c r="A25" s="58">
        <v>10111030</v>
      </c>
      <c r="B25" s="59" t="s">
        <v>11</v>
      </c>
      <c r="C25" s="60" t="s">
        <v>57</v>
      </c>
      <c r="D25" s="60" t="s">
        <v>94</v>
      </c>
      <c r="E25" s="60" t="str">
        <f t="shared" si="2"/>
        <v>ESCALADE 230 gal. drumEOP 1</v>
      </c>
      <c r="F25" s="60" t="str">
        <f t="shared" si="3"/>
        <v>ESCALADE 230 gal. drumEOP 2</v>
      </c>
      <c r="G25" s="10">
        <v>240</v>
      </c>
      <c r="H25" s="2"/>
      <c r="I25" s="2"/>
      <c r="J25" s="10">
        <v>60</v>
      </c>
    </row>
    <row r="26" spans="1:10" x14ac:dyDescent="0.2">
      <c r="A26" s="58">
        <v>10111250</v>
      </c>
      <c r="B26" s="59" t="s">
        <v>12</v>
      </c>
      <c r="C26" s="60" t="s">
        <v>57</v>
      </c>
      <c r="D26" s="60" t="s">
        <v>95</v>
      </c>
      <c r="E26" s="60" t="str">
        <f t="shared" si="2"/>
        <v>ESCALADE 2250 gal. toteEOP 1</v>
      </c>
      <c r="F26" s="60" t="str">
        <f t="shared" si="3"/>
        <v>ESCALADE 2250 gal. toteEOP 2</v>
      </c>
      <c r="G26" s="10">
        <v>2000</v>
      </c>
      <c r="H26" s="2"/>
      <c r="I26" s="2"/>
      <c r="J26" s="10">
        <v>500</v>
      </c>
    </row>
    <row r="27" spans="1:10" x14ac:dyDescent="0.2">
      <c r="A27" s="58">
        <v>10139225</v>
      </c>
      <c r="B27" s="59" t="s">
        <v>13</v>
      </c>
      <c r="C27" s="60" t="s">
        <v>58</v>
      </c>
      <c r="D27" s="60" t="s">
        <v>91</v>
      </c>
      <c r="E27" s="60" t="str">
        <f t="shared" si="2"/>
        <v>HORSEPOWER2.5 gal. bottleEOP 1</v>
      </c>
      <c r="F27" s="60" t="str">
        <f t="shared" si="3"/>
        <v>HORSEPOWER2.5 gal. bottleEOP 2</v>
      </c>
      <c r="G27" s="10">
        <v>15</v>
      </c>
      <c r="H27" s="10"/>
      <c r="I27" s="2"/>
      <c r="J27" s="10">
        <v>5</v>
      </c>
    </row>
    <row r="28" spans="1:10" x14ac:dyDescent="0.2">
      <c r="A28" s="58">
        <v>10139225</v>
      </c>
      <c r="B28" s="59" t="s">
        <v>13</v>
      </c>
      <c r="C28" s="60" t="s">
        <v>58</v>
      </c>
      <c r="D28" s="60" t="s">
        <v>143</v>
      </c>
      <c r="E28" s="60" t="str">
        <f t="shared" ref="E28" si="12">CONCATENATE(C28,D28,$A$1)</f>
        <v>HORSEPOWER2.5 gal. bottle Volume 12+EOP 1</v>
      </c>
      <c r="F28" s="60" t="str">
        <f t="shared" ref="F28" si="13">CONCATENATE(C28,D28,$A$2)</f>
        <v>HORSEPOWER2.5 gal. bottle Volume 12+EOP 2</v>
      </c>
      <c r="G28" s="10"/>
      <c r="H28" s="10">
        <v>20</v>
      </c>
      <c r="I28" s="2"/>
      <c r="J28" s="10">
        <v>0</v>
      </c>
    </row>
    <row r="29" spans="1:10" x14ac:dyDescent="0.2">
      <c r="A29" s="58">
        <v>10139030</v>
      </c>
      <c r="B29" s="59" t="s">
        <v>14</v>
      </c>
      <c r="C29" s="60" t="s">
        <v>58</v>
      </c>
      <c r="D29" s="60" t="s">
        <v>94</v>
      </c>
      <c r="E29" s="60" t="str">
        <f t="shared" si="2"/>
        <v>HORSEPOWER30 gal. drumEOP 1</v>
      </c>
      <c r="F29" s="60" t="str">
        <f t="shared" si="3"/>
        <v>HORSEPOWER30 gal. drumEOP 2</v>
      </c>
      <c r="G29" s="10">
        <v>240</v>
      </c>
      <c r="H29" s="2"/>
      <c r="I29" s="2"/>
      <c r="J29" s="10">
        <v>60</v>
      </c>
    </row>
    <row r="30" spans="1:10" x14ac:dyDescent="0.2">
      <c r="A30" s="58">
        <v>10139250</v>
      </c>
      <c r="B30" s="59" t="s">
        <v>196</v>
      </c>
      <c r="C30" s="60" t="s">
        <v>58</v>
      </c>
      <c r="D30" s="60" t="s">
        <v>95</v>
      </c>
      <c r="E30" s="60" t="str">
        <f>CONCATENATE(C30,D30,$A$1)</f>
        <v>HORSEPOWER250 gal. toteEOP 1</v>
      </c>
      <c r="F30" s="60" t="str">
        <f>CONCATENATE(C30,D30,$A$2)</f>
        <v>HORSEPOWER250 gal. toteEOP 2</v>
      </c>
      <c r="G30" s="10">
        <v>2000</v>
      </c>
      <c r="H30" s="2"/>
      <c r="I30" s="2"/>
      <c r="J30" s="10">
        <v>500</v>
      </c>
    </row>
    <row r="31" spans="1:10" x14ac:dyDescent="0.2">
      <c r="A31" s="58">
        <v>10181174</v>
      </c>
      <c r="B31" s="59" t="s">
        <v>15</v>
      </c>
      <c r="C31" s="60" t="s">
        <v>59</v>
      </c>
      <c r="D31" s="60" t="s">
        <v>114</v>
      </c>
      <c r="E31" s="60" t="str">
        <f t="shared" si="2"/>
        <v>MANOR2 wt oz. bottleEOP 1</v>
      </c>
      <c r="F31" s="60" t="str">
        <f t="shared" si="3"/>
        <v>MANOR2 wt oz. bottleEOP 2</v>
      </c>
      <c r="G31" s="10">
        <v>4</v>
      </c>
      <c r="H31" s="2"/>
      <c r="I31" s="2"/>
      <c r="J31" s="10">
        <v>2</v>
      </c>
    </row>
    <row r="32" spans="1:10" x14ac:dyDescent="0.2">
      <c r="A32" s="58">
        <v>10181880</v>
      </c>
      <c r="B32" s="59" t="s">
        <v>16</v>
      </c>
      <c r="C32" s="60" t="s">
        <v>59</v>
      </c>
      <c r="D32" s="60" t="s">
        <v>96</v>
      </c>
      <c r="E32" s="60" t="str">
        <f t="shared" si="2"/>
        <v>MANOR8 wt oz. bottleEOP 1</v>
      </c>
      <c r="F32" s="60" t="str">
        <f t="shared" si="3"/>
        <v>MANOR8 wt oz. bottleEOP 2</v>
      </c>
      <c r="G32" s="10">
        <v>16</v>
      </c>
      <c r="H32" s="2"/>
      <c r="I32" s="2"/>
      <c r="J32" s="10">
        <v>8</v>
      </c>
    </row>
    <row r="33" spans="1:12" x14ac:dyDescent="0.2">
      <c r="A33" s="58">
        <v>10195225</v>
      </c>
      <c r="B33" s="59" t="s">
        <v>17</v>
      </c>
      <c r="C33" s="60" t="s">
        <v>60</v>
      </c>
      <c r="D33" s="60" t="s">
        <v>91</v>
      </c>
      <c r="E33" s="60" t="str">
        <f t="shared" si="2"/>
        <v>MILLENNIUM ULTRA 22.5 gal. bottleEOP 1</v>
      </c>
      <c r="F33" s="60" t="str">
        <f t="shared" si="3"/>
        <v>MILLENNIUM ULTRA 22.5 gal. bottleEOP 2</v>
      </c>
      <c r="G33" s="10">
        <v>10</v>
      </c>
      <c r="H33" s="10"/>
      <c r="I33" s="2"/>
      <c r="J33" s="10">
        <v>5</v>
      </c>
    </row>
    <row r="34" spans="1:12" x14ac:dyDescent="0.2">
      <c r="A34" s="58">
        <v>10195225</v>
      </c>
      <c r="B34" s="59" t="s">
        <v>17</v>
      </c>
      <c r="C34" s="60" t="s">
        <v>60</v>
      </c>
      <c r="D34" s="60" t="s">
        <v>145</v>
      </c>
      <c r="E34" s="60" t="str">
        <f t="shared" ref="E34" si="14">CONCATENATE(C34,D34,$A$1)</f>
        <v>MILLENNIUM ULTRA 22.5 gal. bottle Volume 6+EOP 1</v>
      </c>
      <c r="F34" s="60" t="str">
        <f t="shared" ref="F34" si="15">CONCATENATE(C34,D34,$A$2)</f>
        <v>MILLENNIUM ULTRA 22.5 gal. bottle Volume 6+EOP 2</v>
      </c>
      <c r="G34" s="10"/>
      <c r="H34" s="10">
        <v>50</v>
      </c>
      <c r="I34" s="2"/>
      <c r="J34" s="10">
        <v>0</v>
      </c>
    </row>
    <row r="35" spans="1:12" x14ac:dyDescent="0.2">
      <c r="A35" s="58">
        <v>10195030</v>
      </c>
      <c r="B35" s="59" t="s">
        <v>18</v>
      </c>
      <c r="C35" s="60" t="s">
        <v>60</v>
      </c>
      <c r="D35" s="60" t="s">
        <v>94</v>
      </c>
      <c r="E35" s="60" t="str">
        <f t="shared" si="2"/>
        <v>MILLENNIUM ULTRA 230 gal. drumEOP 1</v>
      </c>
      <c r="F35" s="60" t="str">
        <f t="shared" si="3"/>
        <v>MILLENNIUM ULTRA 230 gal. drumEOP 2</v>
      </c>
      <c r="G35" s="10">
        <v>600</v>
      </c>
      <c r="H35" s="2"/>
      <c r="I35" s="2"/>
      <c r="J35" s="10">
        <v>60</v>
      </c>
    </row>
    <row r="36" spans="1:12" ht="15" x14ac:dyDescent="0.2">
      <c r="A36" s="58">
        <v>10895998</v>
      </c>
      <c r="B36" s="59" t="s">
        <v>148</v>
      </c>
      <c r="C36" s="60" t="s">
        <v>147</v>
      </c>
      <c r="D36" s="60" t="s">
        <v>150</v>
      </c>
      <c r="E36" s="60" t="str">
        <f>CONCATENATE(C36,D36,$A$1)</f>
        <v>SOUTHPAW16 wt oz. bottleEOP 1</v>
      </c>
      <c r="F36" s="60" t="str">
        <f>CONCATENATE(C36,D36,$A$2)</f>
        <v>SOUTHPAW16 wt oz. bottleEOP 2</v>
      </c>
      <c r="G36" s="10">
        <v>5</v>
      </c>
      <c r="H36" s="2"/>
      <c r="I36" s="2"/>
      <c r="J36" s="10">
        <v>3</v>
      </c>
      <c r="L36" s="157"/>
    </row>
    <row r="37" spans="1:12" x14ac:dyDescent="0.2">
      <c r="A37" s="58">
        <v>10895045</v>
      </c>
      <c r="B37" s="59" t="s">
        <v>146</v>
      </c>
      <c r="C37" s="60" t="s">
        <v>147</v>
      </c>
      <c r="D37" s="60" t="s">
        <v>116</v>
      </c>
      <c r="E37" s="60" t="str">
        <f>CONCATENATE(C37,D37,$A$1)</f>
        <v>SOUTHPAW5 lb. bottleEOP 1</v>
      </c>
      <c r="F37" s="60" t="str">
        <f>CONCATENATE(C37,D37,$A$2)</f>
        <v>SOUTHPAW5 lb. bottleEOP 2</v>
      </c>
      <c r="G37" s="10">
        <v>25</v>
      </c>
      <c r="H37" s="2"/>
      <c r="I37" s="2"/>
      <c r="J37" s="10">
        <v>10</v>
      </c>
    </row>
    <row r="38" spans="1:12" x14ac:dyDescent="0.2">
      <c r="A38" s="58">
        <v>10895045</v>
      </c>
      <c r="B38" s="59" t="s">
        <v>146</v>
      </c>
      <c r="C38" s="60" t="s">
        <v>147</v>
      </c>
      <c r="D38" s="60" t="s">
        <v>149</v>
      </c>
      <c r="E38" s="60" t="str">
        <f>CONCATENATE(C38,D38,$A$1)</f>
        <v>SOUTHPAW5 lb. bottle Volume 4+EOP 1</v>
      </c>
      <c r="F38" s="60" t="str">
        <f>CONCATENATE(C38,D38,$A$2)</f>
        <v>SOUTHPAW5 lb. bottle Volume 4+EOP 2</v>
      </c>
      <c r="G38" s="10"/>
      <c r="H38" s="10">
        <v>50</v>
      </c>
      <c r="I38" s="2"/>
      <c r="J38" s="10">
        <v>0</v>
      </c>
    </row>
    <row r="39" spans="1:12" x14ac:dyDescent="0.2">
      <c r="A39" s="58">
        <v>10874861</v>
      </c>
      <c r="B39" s="59" t="s">
        <v>152</v>
      </c>
      <c r="C39" s="60" t="s">
        <v>151</v>
      </c>
      <c r="D39" s="60" t="s">
        <v>97</v>
      </c>
      <c r="E39" s="60" t="str">
        <f t="shared" si="2"/>
        <v>SUREGUARD EZ1 pt. bottleEOP 1</v>
      </c>
      <c r="F39" s="60" t="str">
        <f t="shared" si="3"/>
        <v>SUREGUARD EZ1 pt. bottleEOP 2</v>
      </c>
      <c r="G39" s="10">
        <v>6</v>
      </c>
      <c r="H39" s="2"/>
      <c r="I39" s="2"/>
      <c r="J39" s="10">
        <v>2</v>
      </c>
    </row>
    <row r="40" spans="1:12" x14ac:dyDescent="0.2">
      <c r="A40" s="58">
        <v>10874464</v>
      </c>
      <c r="B40" s="59" t="s">
        <v>153</v>
      </c>
      <c r="C40" s="60" t="s">
        <v>151</v>
      </c>
      <c r="D40" s="60" t="s">
        <v>98</v>
      </c>
      <c r="E40" s="60" t="str">
        <f t="shared" ref="E40" si="16">CONCATENATE(C40,D40,$A$1)</f>
        <v>SUREGUARD EZ64 fl oz. bottleEOP 1</v>
      </c>
      <c r="F40" s="60" t="str">
        <f t="shared" ref="F40" si="17">CONCATENATE(C40,D40,$A$2)</f>
        <v>SUREGUARD EZ64 fl oz. bottleEOP 2</v>
      </c>
      <c r="G40" s="10">
        <v>25</v>
      </c>
      <c r="H40" s="10"/>
      <c r="I40" s="2"/>
      <c r="J40" s="10">
        <v>5</v>
      </c>
    </row>
    <row r="41" spans="1:12" x14ac:dyDescent="0.2">
      <c r="A41" s="58">
        <v>10874464</v>
      </c>
      <c r="B41" s="59" t="s">
        <v>153</v>
      </c>
      <c r="C41" s="60" t="s">
        <v>151</v>
      </c>
      <c r="D41" s="60" t="s">
        <v>154</v>
      </c>
      <c r="E41" s="60" t="str">
        <f t="shared" si="2"/>
        <v>SUREGUARD EZ64 fl oz. bottle Volume 8+EOP 1</v>
      </c>
      <c r="F41" s="60" t="str">
        <f t="shared" si="3"/>
        <v>SUREGUARD EZ64 fl oz. bottle Volume 8+EOP 2</v>
      </c>
      <c r="G41" s="10"/>
      <c r="H41" s="10">
        <v>30</v>
      </c>
      <c r="I41" s="2"/>
      <c r="J41" s="10">
        <v>0</v>
      </c>
    </row>
    <row r="42" spans="1:12" x14ac:dyDescent="0.2">
      <c r="A42" s="58">
        <v>10872041</v>
      </c>
      <c r="B42" s="59" t="s">
        <v>155</v>
      </c>
      <c r="C42" s="60" t="s">
        <v>209</v>
      </c>
      <c r="D42" s="60" t="s">
        <v>103</v>
      </c>
      <c r="E42" s="60" t="str">
        <f t="shared" ref="E42:E43" si="18">CONCATENATE(C42,D42,$A$1)</f>
        <v>SUREGUARD XTRA1 gal. bottleEOP 1</v>
      </c>
      <c r="F42" s="60" t="str">
        <f t="shared" ref="F42:F43" si="19">CONCATENATE(C42,D42,$A$2)</f>
        <v>SUREGUARD XTRA1 gal. bottleEOP 2</v>
      </c>
      <c r="G42" s="10">
        <v>85</v>
      </c>
      <c r="H42" s="10"/>
      <c r="I42" s="2"/>
      <c r="J42" s="10">
        <v>25</v>
      </c>
    </row>
    <row r="43" spans="1:12" x14ac:dyDescent="0.2">
      <c r="A43" s="58">
        <v>10872041</v>
      </c>
      <c r="B43" s="59" t="s">
        <v>155</v>
      </c>
      <c r="C43" s="60" t="s">
        <v>209</v>
      </c>
      <c r="D43" s="60" t="s">
        <v>156</v>
      </c>
      <c r="E43" s="60" t="str">
        <f t="shared" si="18"/>
        <v>SUREGUARD XTRA1 gal. bottle Volume 4+EOP 1</v>
      </c>
      <c r="F43" s="60" t="str">
        <f t="shared" si="19"/>
        <v>SUREGUARD XTRA1 gal. bottle Volume 4+EOP 2</v>
      </c>
      <c r="G43" s="10"/>
      <c r="H43" s="10">
        <v>120</v>
      </c>
      <c r="I43" s="2"/>
      <c r="J43" s="10">
        <v>0</v>
      </c>
    </row>
    <row r="44" spans="1:12" x14ac:dyDescent="0.2">
      <c r="A44" s="58">
        <v>10724225</v>
      </c>
      <c r="B44" s="59" t="s">
        <v>19</v>
      </c>
      <c r="C44" s="60" t="s">
        <v>88</v>
      </c>
      <c r="D44" s="60" t="s">
        <v>91</v>
      </c>
      <c r="E44" s="60" t="str">
        <f t="shared" si="2"/>
        <v>SURE POWER2.5 gal. bottleEOP 1</v>
      </c>
      <c r="F44" s="60" t="str">
        <f t="shared" si="3"/>
        <v>SURE POWER2.5 gal. bottleEOP 2</v>
      </c>
      <c r="G44" s="10">
        <v>10</v>
      </c>
      <c r="H44" s="2"/>
      <c r="I44" s="2"/>
      <c r="J44" s="10">
        <v>5</v>
      </c>
    </row>
    <row r="45" spans="1:12" x14ac:dyDescent="0.2">
      <c r="A45" s="58">
        <v>10724030</v>
      </c>
      <c r="B45" s="59" t="s">
        <v>20</v>
      </c>
      <c r="C45" s="60" t="s">
        <v>88</v>
      </c>
      <c r="D45" s="60" t="s">
        <v>94</v>
      </c>
      <c r="E45" s="60" t="str">
        <f t="shared" si="2"/>
        <v>SURE POWER30 gal. drumEOP 1</v>
      </c>
      <c r="F45" s="60" t="str">
        <f t="shared" si="3"/>
        <v>SURE POWER30 gal. drumEOP 2</v>
      </c>
      <c r="G45" s="10">
        <v>120</v>
      </c>
      <c r="H45" s="2"/>
      <c r="I45" s="2"/>
      <c r="J45" s="10">
        <v>60</v>
      </c>
    </row>
    <row r="46" spans="1:12" x14ac:dyDescent="0.2">
      <c r="A46" s="58">
        <v>10361225</v>
      </c>
      <c r="B46" s="59" t="s">
        <v>21</v>
      </c>
      <c r="C46" s="60" t="s">
        <v>61</v>
      </c>
      <c r="D46" s="60" t="s">
        <v>91</v>
      </c>
      <c r="E46" s="60" t="str">
        <f t="shared" si="2"/>
        <v>TRIPLET LOW ODOR2.5 gal. bottleEOP 1</v>
      </c>
      <c r="F46" s="60" t="str">
        <f t="shared" si="3"/>
        <v>TRIPLET LOW ODOR2.5 gal. bottleEOP 2</v>
      </c>
      <c r="G46" s="10">
        <v>15</v>
      </c>
      <c r="H46" s="2"/>
      <c r="I46" s="2"/>
      <c r="J46" s="10">
        <v>5</v>
      </c>
    </row>
    <row r="47" spans="1:12" x14ac:dyDescent="0.2">
      <c r="A47" s="58">
        <v>10361030</v>
      </c>
      <c r="B47" s="59" t="s">
        <v>22</v>
      </c>
      <c r="C47" s="60" t="s">
        <v>61</v>
      </c>
      <c r="D47" s="60" t="s">
        <v>94</v>
      </c>
      <c r="E47" s="60" t="str">
        <f t="shared" si="2"/>
        <v>TRIPLET LOW ODOR30 gal. drumEOP 1</v>
      </c>
      <c r="F47" s="60" t="str">
        <f t="shared" si="3"/>
        <v>TRIPLET LOW ODOR30 gal. drumEOP 2</v>
      </c>
      <c r="G47" s="10">
        <v>180</v>
      </c>
      <c r="H47" s="2"/>
      <c r="I47" s="2"/>
      <c r="J47" s="10">
        <v>60</v>
      </c>
    </row>
    <row r="48" spans="1:12" x14ac:dyDescent="0.2">
      <c r="A48" s="58">
        <v>10885861</v>
      </c>
      <c r="B48" s="59" t="s">
        <v>194</v>
      </c>
      <c r="C48" s="60" t="s">
        <v>195</v>
      </c>
      <c r="D48" s="60" t="s">
        <v>97</v>
      </c>
      <c r="E48" s="60" t="str">
        <f>CONCATENATE(C48,D48,$A$1)</f>
        <v>VELOCITY PM1 pt. bottleEOP 1</v>
      </c>
      <c r="F48" s="60" t="str">
        <f>CONCATENATE(C48,D48,$A$2)</f>
        <v>VELOCITY PM1 pt. bottleEOP 2</v>
      </c>
      <c r="G48" s="10">
        <v>18</v>
      </c>
      <c r="H48" s="2"/>
      <c r="I48" s="2"/>
      <c r="J48" s="10">
        <v>10</v>
      </c>
    </row>
    <row r="49" spans="1:10" s="1" customFormat="1" x14ac:dyDescent="0.2">
      <c r="A49" s="144"/>
      <c r="B49" s="145" t="s">
        <v>23</v>
      </c>
      <c r="C49" s="146" t="s">
        <v>23</v>
      </c>
      <c r="D49" s="147"/>
      <c r="E49" s="147" t="str">
        <f t="shared" si="2"/>
        <v>InsecticidesEOP 1</v>
      </c>
      <c r="F49" s="147" t="str">
        <f t="shared" si="3"/>
        <v>InsecticidesEOP 2</v>
      </c>
      <c r="G49" s="148"/>
      <c r="H49" s="149"/>
      <c r="I49" s="150"/>
      <c r="J49" s="148"/>
    </row>
    <row r="50" spans="1:10" x14ac:dyDescent="0.2">
      <c r="A50" s="58">
        <v>10669032</v>
      </c>
      <c r="B50" s="59" t="s">
        <v>24</v>
      </c>
      <c r="C50" s="60" t="s">
        <v>85</v>
      </c>
      <c r="D50" s="60" t="s">
        <v>99</v>
      </c>
      <c r="E50" s="60" t="str">
        <f>CONCATENATE(C50,D50,$A$1)</f>
        <v>ALOFT LC G30 lb. bagEOP 1</v>
      </c>
      <c r="F50" s="60" t="str">
        <f>CONCATENATE(C50,D50,$A$2)</f>
        <v>ALOFT LC G30 lb. bagEOP 2</v>
      </c>
      <c r="G50" s="10">
        <v>3</v>
      </c>
      <c r="H50" s="2"/>
      <c r="I50" s="2"/>
      <c r="J50" s="10">
        <v>1</v>
      </c>
    </row>
    <row r="51" spans="1:10" x14ac:dyDescent="0.2">
      <c r="A51" s="58">
        <v>10669032</v>
      </c>
      <c r="B51" s="59" t="s">
        <v>24</v>
      </c>
      <c r="C51" s="60" t="s">
        <v>85</v>
      </c>
      <c r="D51" s="60" t="s">
        <v>169</v>
      </c>
      <c r="E51" s="60" t="str">
        <f t="shared" ref="E51" si="20">CONCATENATE(C51,D51,$A$1)</f>
        <v>ALOFT LC G30 lb. bag Volume 50+EOP 1</v>
      </c>
      <c r="F51" s="60" t="str">
        <f t="shared" ref="F51" si="21">CONCATENATE(C51,D51,$A$2)</f>
        <v>ALOFT LC G30 lb. bag Volume 50+EOP 2</v>
      </c>
      <c r="G51" s="10"/>
      <c r="H51" s="19">
        <v>6</v>
      </c>
      <c r="I51" s="2"/>
      <c r="J51" s="10">
        <v>0</v>
      </c>
    </row>
    <row r="52" spans="1:10" x14ac:dyDescent="0.2">
      <c r="A52" s="58">
        <v>10678464</v>
      </c>
      <c r="B52" s="59" t="s">
        <v>168</v>
      </c>
      <c r="C52" s="60" t="s">
        <v>167</v>
      </c>
      <c r="D52" s="60" t="s">
        <v>98</v>
      </c>
      <c r="E52" s="60" t="str">
        <f t="shared" si="2"/>
        <v>ALOFT GC SC64 fl oz. bottleEOP 1</v>
      </c>
      <c r="F52" s="60" t="str">
        <f t="shared" si="3"/>
        <v>ALOFT GC SC64 fl oz. bottleEOP 2</v>
      </c>
      <c r="G52" s="10">
        <v>65</v>
      </c>
      <c r="H52" s="10"/>
      <c r="I52" s="2"/>
      <c r="J52" s="10">
        <v>10</v>
      </c>
    </row>
    <row r="53" spans="1:10" x14ac:dyDescent="0.2">
      <c r="A53" s="58">
        <v>10678464</v>
      </c>
      <c r="B53" s="59" t="s">
        <v>168</v>
      </c>
      <c r="C53" s="60" t="s">
        <v>167</v>
      </c>
      <c r="D53" s="60" t="s">
        <v>154</v>
      </c>
      <c r="E53" s="60" t="str">
        <f t="shared" ref="E53" si="22">CONCATENATE(C53,D53,$A$1)</f>
        <v>ALOFT GC SC64 fl oz. bottle Volume 8+EOP 1</v>
      </c>
      <c r="F53" s="60" t="str">
        <f t="shared" ref="F53" si="23">CONCATENATE(C53,D53,$A$2)</f>
        <v>ALOFT GC SC64 fl oz. bottle Volume 8+EOP 2</v>
      </c>
      <c r="G53" s="10"/>
      <c r="H53" s="10">
        <v>130</v>
      </c>
      <c r="I53" s="2"/>
      <c r="J53" s="10">
        <v>0</v>
      </c>
    </row>
    <row r="54" spans="1:10" x14ac:dyDescent="0.2">
      <c r="A54" s="58">
        <v>10677464</v>
      </c>
      <c r="B54" s="59" t="s">
        <v>171</v>
      </c>
      <c r="C54" s="60" t="s">
        <v>170</v>
      </c>
      <c r="D54" s="60" t="s">
        <v>98</v>
      </c>
      <c r="E54" s="60" t="str">
        <f t="shared" si="2"/>
        <v>ALOFT LC SC64 fl oz. bottleEOP 1</v>
      </c>
      <c r="F54" s="60" t="str">
        <f t="shared" si="3"/>
        <v>ALOFT LC SC64 fl oz. bottleEOP 2</v>
      </c>
      <c r="G54" s="10">
        <v>65</v>
      </c>
      <c r="H54" s="10"/>
      <c r="I54" s="2"/>
      <c r="J54" s="10">
        <v>10</v>
      </c>
    </row>
    <row r="55" spans="1:10" x14ac:dyDescent="0.2">
      <c r="A55" s="58">
        <v>10677464</v>
      </c>
      <c r="B55" s="59" t="s">
        <v>171</v>
      </c>
      <c r="C55" s="60" t="s">
        <v>170</v>
      </c>
      <c r="D55" s="60" t="s">
        <v>154</v>
      </c>
      <c r="E55" s="60" t="str">
        <f t="shared" ref="E55" si="24">CONCATENATE(C55,D55,$A$1)</f>
        <v>ALOFT LC SC64 fl oz. bottle Volume 8+EOP 1</v>
      </c>
      <c r="F55" s="60" t="str">
        <f t="shared" ref="F55" si="25">CONCATENATE(C55,D55,$A$2)</f>
        <v>ALOFT LC SC64 fl oz. bottle Volume 8+EOP 2</v>
      </c>
      <c r="G55" s="10"/>
      <c r="H55" s="10">
        <v>130</v>
      </c>
      <c r="I55" s="2"/>
      <c r="J55" s="10">
        <v>0</v>
      </c>
    </row>
    <row r="56" spans="1:10" x14ac:dyDescent="0.2">
      <c r="A56" s="58">
        <v>10580032</v>
      </c>
      <c r="B56" s="59" t="s">
        <v>25</v>
      </c>
      <c r="C56" s="60" t="s">
        <v>72</v>
      </c>
      <c r="D56" s="60" t="s">
        <v>99</v>
      </c>
      <c r="E56" s="60" t="str">
        <f t="shared" si="2"/>
        <v>ARENA 0.25 G30 lb. bagEOP 1</v>
      </c>
      <c r="F56" s="60" t="str">
        <f t="shared" si="3"/>
        <v>ARENA 0.25 G30 lb. bagEOP 2</v>
      </c>
      <c r="G56" s="10">
        <v>3</v>
      </c>
      <c r="H56" s="2"/>
      <c r="I56" s="2"/>
      <c r="J56" s="10">
        <v>1</v>
      </c>
    </row>
    <row r="57" spans="1:10" x14ac:dyDescent="0.2">
      <c r="A57" s="58">
        <v>10580032</v>
      </c>
      <c r="B57" s="59" t="s">
        <v>25</v>
      </c>
      <c r="C57" s="60" t="s">
        <v>72</v>
      </c>
      <c r="D57" s="60" t="s">
        <v>169</v>
      </c>
      <c r="E57" s="60" t="str">
        <f t="shared" ref="E57" si="26">CONCATENATE(C57,D57,$A$1)</f>
        <v>ARENA 0.25 G30 lb. bag Volume 50+EOP 1</v>
      </c>
      <c r="F57" s="60" t="str">
        <f t="shared" ref="F57" si="27">CONCATENATE(C57,D57,$A$2)</f>
        <v>ARENA 0.25 G30 lb. bag Volume 50+EOP 2</v>
      </c>
      <c r="G57" s="10"/>
      <c r="H57" s="19">
        <v>6</v>
      </c>
      <c r="I57" s="2"/>
      <c r="J57" s="10">
        <v>0</v>
      </c>
    </row>
    <row r="58" spans="1:10" x14ac:dyDescent="0.2">
      <c r="A58" s="58">
        <v>10581440</v>
      </c>
      <c r="B58" s="59" t="s">
        <v>26</v>
      </c>
      <c r="C58" s="60" t="s">
        <v>73</v>
      </c>
      <c r="D58" s="60" t="s">
        <v>100</v>
      </c>
      <c r="E58" s="60" t="str">
        <f t="shared" si="2"/>
        <v>ARENA 50 WDG40 wt oz. bottleEOP 1</v>
      </c>
      <c r="F58" s="60" t="str">
        <f t="shared" si="3"/>
        <v>ARENA 50 WDG40 wt oz. bottleEOP 2</v>
      </c>
      <c r="G58" s="10">
        <v>50</v>
      </c>
      <c r="H58" s="2"/>
      <c r="I58" s="2"/>
      <c r="J58" s="10">
        <v>20</v>
      </c>
    </row>
    <row r="59" spans="1:10" x14ac:dyDescent="0.2">
      <c r="A59" s="58">
        <v>10581440</v>
      </c>
      <c r="B59" s="59" t="s">
        <v>26</v>
      </c>
      <c r="C59" s="60" t="s">
        <v>73</v>
      </c>
      <c r="D59" s="60" t="s">
        <v>172</v>
      </c>
      <c r="E59" s="60" t="str">
        <f t="shared" ref="E59" si="28">CONCATENATE(C59,D59,$A$1)</f>
        <v>ARENA 50 WDG40 wt oz. bottle Volume 8+EOP 1</v>
      </c>
      <c r="F59" s="60" t="str">
        <f t="shared" ref="F59" si="29">CONCATENATE(C59,D59,$A$2)</f>
        <v>ARENA 50 WDG40 wt oz. bottle Volume 8+EOP 2</v>
      </c>
      <c r="G59" s="10"/>
      <c r="H59" s="19">
        <v>140</v>
      </c>
      <c r="I59" s="2"/>
      <c r="J59" s="10">
        <v>0</v>
      </c>
    </row>
    <row r="60" spans="1:10" x14ac:dyDescent="0.2">
      <c r="A60" s="58">
        <v>10586301</v>
      </c>
      <c r="B60" s="59" t="s">
        <v>27</v>
      </c>
      <c r="C60" s="60" t="s">
        <v>75</v>
      </c>
      <c r="D60" s="60" t="s">
        <v>93</v>
      </c>
      <c r="E60" s="60" t="str">
        <f t="shared" si="2"/>
        <v>DIPEL PRO DF1 lb. bagEOP 1</v>
      </c>
      <c r="F60" s="60" t="str">
        <f t="shared" si="3"/>
        <v>DIPEL PRO DF1 lb. bagEOP 2</v>
      </c>
      <c r="G60" s="10">
        <v>1</v>
      </c>
      <c r="H60" s="2"/>
      <c r="I60" s="2"/>
      <c r="J60" s="10">
        <v>1</v>
      </c>
    </row>
    <row r="61" spans="1:10" x14ac:dyDescent="0.2">
      <c r="A61" s="58">
        <v>10588432</v>
      </c>
      <c r="B61" s="59" t="s">
        <v>28</v>
      </c>
      <c r="C61" s="60" t="s">
        <v>76</v>
      </c>
      <c r="D61" s="60" t="s">
        <v>101</v>
      </c>
      <c r="E61" s="60" t="str">
        <f t="shared" si="2"/>
        <v>DISTANCE IGR1 qt. bottleEOP 1</v>
      </c>
      <c r="F61" s="60" t="str">
        <f t="shared" si="3"/>
        <v>DISTANCE IGR1 qt. bottleEOP 2</v>
      </c>
      <c r="G61" s="10">
        <v>38</v>
      </c>
      <c r="H61" s="2"/>
      <c r="I61" s="2"/>
      <c r="J61" s="10">
        <v>5</v>
      </c>
    </row>
    <row r="62" spans="1:10" x14ac:dyDescent="0.2">
      <c r="A62" s="58">
        <v>10588432</v>
      </c>
      <c r="B62" s="59" t="s">
        <v>28</v>
      </c>
      <c r="C62" s="60" t="s">
        <v>76</v>
      </c>
      <c r="D62" s="60" t="s">
        <v>237</v>
      </c>
      <c r="E62" s="60" t="str">
        <f t="shared" ref="E62" si="30">CONCATENATE(C62,D62,$A$1)</f>
        <v>DISTANCE IGR1 qt. bottle Volume 4+EOP 1</v>
      </c>
      <c r="F62" s="60" t="str">
        <f t="shared" ref="F62" si="31">CONCATENATE(C62,D62,$A$2)</f>
        <v>DISTANCE IGR1 qt. bottle Volume 4+EOP 2</v>
      </c>
      <c r="G62" s="10"/>
      <c r="H62" s="10">
        <v>45</v>
      </c>
      <c r="I62" s="2"/>
      <c r="J62" s="10">
        <v>0</v>
      </c>
    </row>
    <row r="63" spans="1:10" x14ac:dyDescent="0.2">
      <c r="A63" s="58">
        <v>10809861</v>
      </c>
      <c r="B63" s="59" t="s">
        <v>53</v>
      </c>
      <c r="C63" s="60" t="s">
        <v>89</v>
      </c>
      <c r="D63" s="60" t="s">
        <v>97</v>
      </c>
      <c r="E63" s="60" t="str">
        <f t="shared" si="2"/>
        <v>ENGULF GHN1 pt. bottleEOP 1</v>
      </c>
      <c r="F63" s="60" t="str">
        <f t="shared" si="3"/>
        <v>ENGULF GHN1 pt. bottleEOP 2</v>
      </c>
      <c r="G63" s="10">
        <v>20</v>
      </c>
      <c r="H63" s="2"/>
      <c r="I63" s="2"/>
      <c r="J63" s="10">
        <v>10</v>
      </c>
    </row>
    <row r="64" spans="1:10" x14ac:dyDescent="0.2">
      <c r="A64" s="58">
        <v>10809861</v>
      </c>
      <c r="B64" s="59" t="s">
        <v>53</v>
      </c>
      <c r="C64" s="60" t="s">
        <v>89</v>
      </c>
      <c r="D64" s="60" t="s">
        <v>179</v>
      </c>
      <c r="E64" s="60" t="str">
        <f t="shared" ref="E64" si="32">CONCATENATE(C64,D64,$A$1)</f>
        <v>ENGULF GHN1 pt. bottle Volume 8+EOP 1</v>
      </c>
      <c r="F64" s="60" t="str">
        <f t="shared" ref="F64" si="33">CONCATENATE(C64,D64,$A$2)</f>
        <v>ENGULF GHN1 pt. bottle Volume 8+EOP 2</v>
      </c>
      <c r="G64" s="10"/>
      <c r="H64" s="19">
        <v>30</v>
      </c>
      <c r="I64" s="2"/>
      <c r="J64" s="10">
        <v>0</v>
      </c>
    </row>
    <row r="65" spans="1:10" x14ac:dyDescent="0.2">
      <c r="A65" s="58">
        <v>10591163</v>
      </c>
      <c r="B65" s="59" t="s">
        <v>29</v>
      </c>
      <c r="C65" s="60" t="s">
        <v>78</v>
      </c>
      <c r="D65" s="60" t="s">
        <v>102</v>
      </c>
      <c r="E65" s="60" t="str">
        <f t="shared" si="2"/>
        <v>GNATROL WDG16 lb. pailEOP 1</v>
      </c>
      <c r="F65" s="60" t="str">
        <f t="shared" si="3"/>
        <v>GNATROL WDG16 lb. pailEOP 2</v>
      </c>
      <c r="G65" s="10">
        <v>16</v>
      </c>
      <c r="H65" s="2"/>
      <c r="I65" s="2"/>
      <c r="J65" s="10">
        <v>8</v>
      </c>
    </row>
    <row r="66" spans="1:10" x14ac:dyDescent="0.2">
      <c r="A66" s="58">
        <v>10666432</v>
      </c>
      <c r="B66" s="59" t="s">
        <v>30</v>
      </c>
      <c r="C66" s="60" t="s">
        <v>84</v>
      </c>
      <c r="D66" s="60" t="s">
        <v>101</v>
      </c>
      <c r="E66" s="60" t="str">
        <f t="shared" si="2"/>
        <v>MINX 21 qt. bottleEOP 1</v>
      </c>
      <c r="F66" s="60" t="str">
        <f t="shared" si="3"/>
        <v>MINX 21 qt. bottleEOP 2</v>
      </c>
      <c r="G66" s="10">
        <v>5</v>
      </c>
      <c r="H66" s="2"/>
      <c r="I66" s="2"/>
      <c r="J66" s="10">
        <v>2</v>
      </c>
    </row>
    <row r="67" spans="1:10" x14ac:dyDescent="0.2">
      <c r="A67" s="58">
        <v>10666041</v>
      </c>
      <c r="B67" s="59" t="s">
        <v>31</v>
      </c>
      <c r="C67" s="60" t="s">
        <v>84</v>
      </c>
      <c r="D67" s="60" t="s">
        <v>103</v>
      </c>
      <c r="E67" s="60" t="str">
        <f t="shared" si="2"/>
        <v>MINX 21 gal. bottleEOP 1</v>
      </c>
      <c r="F67" s="60" t="str">
        <f t="shared" si="3"/>
        <v>MINX 21 gal. bottleEOP 2</v>
      </c>
      <c r="G67" s="10">
        <v>20</v>
      </c>
      <c r="H67" s="2"/>
      <c r="I67" s="2"/>
      <c r="J67" s="10">
        <v>6</v>
      </c>
    </row>
    <row r="68" spans="1:10" x14ac:dyDescent="0.2">
      <c r="A68" s="58">
        <v>10666041</v>
      </c>
      <c r="B68" s="59" t="s">
        <v>31</v>
      </c>
      <c r="C68" s="60" t="s">
        <v>84</v>
      </c>
      <c r="D68" s="60" t="s">
        <v>156</v>
      </c>
      <c r="E68" s="60" t="str">
        <f t="shared" ref="E68" si="34">CONCATENATE(C68,D68,$A$1)</f>
        <v>MINX 21 gal. bottle Volume 4+EOP 1</v>
      </c>
      <c r="F68" s="60" t="str">
        <f t="shared" ref="F68" si="35">CONCATENATE(C68,D68,$A$2)</f>
        <v>MINX 21 gal. bottle Volume 4+EOP 2</v>
      </c>
      <c r="G68" s="10"/>
      <c r="H68" s="10">
        <v>40</v>
      </c>
      <c r="I68" s="2"/>
      <c r="J68" s="10">
        <v>0</v>
      </c>
    </row>
    <row r="69" spans="1:10" x14ac:dyDescent="0.2">
      <c r="A69" s="58">
        <v>10881432</v>
      </c>
      <c r="B69" s="59" t="s">
        <v>238</v>
      </c>
      <c r="C69" s="60" t="s">
        <v>214</v>
      </c>
      <c r="D69" s="60" t="s">
        <v>101</v>
      </c>
      <c r="E69" s="60" t="str">
        <f t="shared" ref="E69:E77" si="36">CONCATENATE(C69,D69,$A$1)</f>
        <v>OPTERAPRO1 qt. bottleEOP 1</v>
      </c>
      <c r="F69" s="60" t="str">
        <f t="shared" ref="F69:F77" si="37">CONCATENATE(C69,D69,$A$2)</f>
        <v>OPTERAPRO1 qt. bottleEOP 2</v>
      </c>
      <c r="G69" s="10">
        <v>120</v>
      </c>
      <c r="H69" s="2"/>
      <c r="I69" s="2"/>
      <c r="J69" s="10">
        <v>90</v>
      </c>
    </row>
    <row r="70" spans="1:10" x14ac:dyDescent="0.2">
      <c r="A70" s="58">
        <v>10881432</v>
      </c>
      <c r="B70" s="59" t="s">
        <v>238</v>
      </c>
      <c r="C70" s="60" t="s">
        <v>214</v>
      </c>
      <c r="D70" s="60" t="s">
        <v>237</v>
      </c>
      <c r="E70" s="60" t="str">
        <f t="shared" si="36"/>
        <v>OPTERAPRO1 qt. bottle Volume 4+EOP 1</v>
      </c>
      <c r="F70" s="60" t="str">
        <f t="shared" si="37"/>
        <v>OPTERAPRO1 qt. bottle Volume 4+EOP 2</v>
      </c>
      <c r="G70" s="10"/>
      <c r="H70" s="10">
        <v>140</v>
      </c>
      <c r="I70" s="2"/>
      <c r="J70" s="10">
        <v>0</v>
      </c>
    </row>
    <row r="71" spans="1:10" x14ac:dyDescent="0.2">
      <c r="A71" s="58">
        <v>10881041</v>
      </c>
      <c r="B71" s="59" t="s">
        <v>239</v>
      </c>
      <c r="C71" s="60" t="s">
        <v>214</v>
      </c>
      <c r="D71" s="60" t="s">
        <v>103</v>
      </c>
      <c r="E71" s="60" t="str">
        <f t="shared" si="36"/>
        <v>OPTERAPRO1 gal. bottleEOP 1</v>
      </c>
      <c r="F71" s="60" t="str">
        <f t="shared" si="37"/>
        <v>OPTERAPRO1 gal. bottleEOP 2</v>
      </c>
      <c r="G71" s="10">
        <v>450</v>
      </c>
      <c r="H71" s="2"/>
      <c r="I71" s="2"/>
      <c r="J71" s="10">
        <v>275</v>
      </c>
    </row>
    <row r="72" spans="1:10" x14ac:dyDescent="0.2">
      <c r="A72" s="58">
        <v>10881041</v>
      </c>
      <c r="B72" s="59" t="s">
        <v>239</v>
      </c>
      <c r="C72" s="60" t="s">
        <v>214</v>
      </c>
      <c r="D72" s="60" t="s">
        <v>156</v>
      </c>
      <c r="E72" s="60" t="str">
        <f t="shared" si="36"/>
        <v>OPTERAPRO1 gal. bottle Volume 4+EOP 1</v>
      </c>
      <c r="F72" s="60" t="str">
        <f t="shared" si="37"/>
        <v>OPTERAPRO1 gal. bottle Volume 4+EOP 2</v>
      </c>
      <c r="G72" s="10"/>
      <c r="H72" s="10">
        <v>575</v>
      </c>
      <c r="I72" s="2"/>
      <c r="J72" s="10">
        <v>0</v>
      </c>
    </row>
    <row r="73" spans="1:10" x14ac:dyDescent="0.2">
      <c r="A73" s="58">
        <v>10881041</v>
      </c>
      <c r="B73" s="59" t="s">
        <v>239</v>
      </c>
      <c r="C73" s="60" t="s">
        <v>214</v>
      </c>
      <c r="D73" s="60" t="s">
        <v>240</v>
      </c>
      <c r="E73" s="60" t="str">
        <f t="shared" si="36"/>
        <v>OPTERAPRO1 gal. bottle Pairing 4EOP 1</v>
      </c>
      <c r="F73" s="60" t="str">
        <f t="shared" si="37"/>
        <v>OPTERAPRO1 gal. bottle Pairing 4EOP 2</v>
      </c>
      <c r="G73" s="10"/>
      <c r="H73" s="65"/>
      <c r="I73" s="10">
        <v>575</v>
      </c>
      <c r="J73" s="10">
        <v>575</v>
      </c>
    </row>
    <row r="74" spans="1:10" x14ac:dyDescent="0.2">
      <c r="A74" s="58">
        <v>10886464</v>
      </c>
      <c r="B74" s="59" t="s">
        <v>341</v>
      </c>
      <c r="C74" s="60" t="s">
        <v>345</v>
      </c>
      <c r="D74" s="60" t="s">
        <v>98</v>
      </c>
      <c r="E74" s="60" t="str">
        <f t="shared" si="36"/>
        <v>OPTERAPRO DUO GC64 fl oz. bottleEOP 1</v>
      </c>
      <c r="F74" s="60" t="str">
        <f t="shared" si="37"/>
        <v>OPTERAPRO DUO GC64 fl oz. bottleEOP 2</v>
      </c>
      <c r="G74" s="10">
        <v>35</v>
      </c>
      <c r="H74" s="65"/>
      <c r="I74" s="48"/>
      <c r="J74" s="10">
        <v>35</v>
      </c>
    </row>
    <row r="75" spans="1:10" x14ac:dyDescent="0.2">
      <c r="A75" s="58">
        <v>10886225</v>
      </c>
      <c r="B75" s="59" t="s">
        <v>342</v>
      </c>
      <c r="C75" s="60" t="s">
        <v>345</v>
      </c>
      <c r="D75" s="60" t="s">
        <v>91</v>
      </c>
      <c r="E75" s="60" t="str">
        <f t="shared" si="36"/>
        <v>OPTERAPRO DUO GC2.5 gal. bottleEOP 1</v>
      </c>
      <c r="F75" s="60" t="str">
        <f t="shared" si="37"/>
        <v>OPTERAPRO DUO GC2.5 gal. bottleEOP 2</v>
      </c>
      <c r="G75" s="10">
        <v>175</v>
      </c>
      <c r="H75" s="65"/>
      <c r="I75" s="48"/>
      <c r="J75" s="10">
        <v>175</v>
      </c>
    </row>
    <row r="76" spans="1:10" x14ac:dyDescent="0.2">
      <c r="A76" s="58">
        <v>10882464</v>
      </c>
      <c r="B76" s="59" t="s">
        <v>343</v>
      </c>
      <c r="C76" s="60" t="s">
        <v>346</v>
      </c>
      <c r="D76" s="60" t="s">
        <v>98</v>
      </c>
      <c r="E76" s="60" t="str">
        <f t="shared" si="36"/>
        <v>OPTERAPRO DUO LC64 fl oz. bottleEOP 1</v>
      </c>
      <c r="F76" s="60" t="str">
        <f t="shared" si="37"/>
        <v>OPTERAPRO DUO LC64 fl oz. bottleEOP 2</v>
      </c>
      <c r="G76" s="10">
        <v>35</v>
      </c>
      <c r="H76" s="65"/>
      <c r="I76" s="48"/>
      <c r="J76" s="10">
        <v>35</v>
      </c>
    </row>
    <row r="77" spans="1:10" x14ac:dyDescent="0.2">
      <c r="A77" s="58">
        <v>10882225</v>
      </c>
      <c r="B77" s="59" t="s">
        <v>344</v>
      </c>
      <c r="C77" s="60" t="s">
        <v>346</v>
      </c>
      <c r="D77" s="60" t="s">
        <v>91</v>
      </c>
      <c r="E77" s="60" t="str">
        <f t="shared" si="36"/>
        <v>OPTERAPRO DUO LC2.5 gal. bottleEOP 1</v>
      </c>
      <c r="F77" s="60" t="str">
        <f t="shared" si="37"/>
        <v>OPTERAPRO DUO LC2.5 gal. bottleEOP 2</v>
      </c>
      <c r="G77" s="10">
        <v>175</v>
      </c>
      <c r="H77" s="65"/>
      <c r="I77" s="48"/>
      <c r="J77" s="10">
        <v>175</v>
      </c>
    </row>
    <row r="78" spans="1:10" x14ac:dyDescent="0.2">
      <c r="A78" s="58">
        <v>10592882</v>
      </c>
      <c r="B78" s="59" t="s">
        <v>32</v>
      </c>
      <c r="C78" s="60" t="s">
        <v>79</v>
      </c>
      <c r="D78" s="60" t="s">
        <v>93</v>
      </c>
      <c r="E78" s="60" t="str">
        <f t="shared" si="2"/>
        <v>OVERTURE 35 WP1 lb. bagEOP 1</v>
      </c>
      <c r="F78" s="60" t="str">
        <f t="shared" si="3"/>
        <v>OVERTURE 35 WP1 lb. bagEOP 2</v>
      </c>
      <c r="G78" s="10">
        <v>6</v>
      </c>
      <c r="H78" s="2"/>
      <c r="I78" s="2"/>
      <c r="J78" s="10">
        <v>2</v>
      </c>
    </row>
    <row r="79" spans="1:10" x14ac:dyDescent="0.2">
      <c r="A79" s="58">
        <v>10594164</v>
      </c>
      <c r="B79" s="59" t="s">
        <v>33</v>
      </c>
      <c r="C79" s="60" t="s">
        <v>80</v>
      </c>
      <c r="D79" s="60" t="s">
        <v>104</v>
      </c>
      <c r="E79" s="60" t="str">
        <f t="shared" si="2"/>
        <v>SAFARI 20 SG12 wt oz. bottleEOP 1</v>
      </c>
      <c r="F79" s="60" t="str">
        <f t="shared" si="3"/>
        <v>SAFARI 20 SG12 wt oz. bottleEOP 2</v>
      </c>
      <c r="G79" s="10">
        <v>10</v>
      </c>
      <c r="H79" s="2"/>
      <c r="I79" s="2"/>
      <c r="J79" s="10">
        <v>3</v>
      </c>
    </row>
    <row r="80" spans="1:10" x14ac:dyDescent="0.2">
      <c r="A80" s="58">
        <v>10594403</v>
      </c>
      <c r="B80" s="59" t="s">
        <v>34</v>
      </c>
      <c r="C80" s="60" t="s">
        <v>80</v>
      </c>
      <c r="D80" s="60" t="s">
        <v>115</v>
      </c>
      <c r="E80" s="60" t="str">
        <f t="shared" ref="E80" si="38">CONCATENATE(C80,D80,$A$1)</f>
        <v>SAFARI 20 SG3 lb. bottleEOP 1</v>
      </c>
      <c r="F80" s="60" t="str">
        <f t="shared" ref="F80" si="39">CONCATENATE(C80,D80,$A$2)</f>
        <v>SAFARI 20 SG3 lb. bottleEOP 2</v>
      </c>
      <c r="G80" s="10">
        <v>15</v>
      </c>
      <c r="H80" s="2"/>
      <c r="I80" s="2"/>
      <c r="J80" s="10">
        <v>5</v>
      </c>
    </row>
    <row r="81" spans="1:10" x14ac:dyDescent="0.2">
      <c r="A81" s="58">
        <v>10594403</v>
      </c>
      <c r="B81" s="59" t="s">
        <v>34</v>
      </c>
      <c r="C81" s="60" t="s">
        <v>80</v>
      </c>
      <c r="D81" s="60" t="s">
        <v>208</v>
      </c>
      <c r="E81" s="60" t="str">
        <f t="shared" si="2"/>
        <v>SAFARI 20 SG3 lb. bottle Volume 4+EOP 1</v>
      </c>
      <c r="F81" s="60" t="str">
        <f t="shared" si="3"/>
        <v>SAFARI 20 SG3 lb. bottle Volume 4+EOP 2</v>
      </c>
      <c r="G81" s="10"/>
      <c r="H81" s="10">
        <v>25</v>
      </c>
      <c r="I81" s="2"/>
      <c r="J81" s="10">
        <v>0</v>
      </c>
    </row>
    <row r="82" spans="1:10" x14ac:dyDescent="0.2">
      <c r="A82" s="58">
        <v>10900432</v>
      </c>
      <c r="B82" s="59" t="s">
        <v>313</v>
      </c>
      <c r="C82" s="59" t="s">
        <v>303</v>
      </c>
      <c r="D82" s="60" t="s">
        <v>101</v>
      </c>
      <c r="E82" s="60" t="str">
        <f>CONCATENATE(C82,D82,$A$1)</f>
        <v>SIMPELL1 qt. bottleEOP 1</v>
      </c>
      <c r="F82" s="60" t="str">
        <f>CONCATENATE(C82,D82,$A$2)</f>
        <v>SIMPELL1 qt. bottleEOP 2</v>
      </c>
      <c r="G82" s="10">
        <v>15</v>
      </c>
      <c r="H82" s="48"/>
      <c r="I82" s="2"/>
      <c r="J82" s="10">
        <v>6</v>
      </c>
    </row>
    <row r="83" spans="1:10" x14ac:dyDescent="0.2">
      <c r="A83" s="58">
        <v>10900041</v>
      </c>
      <c r="B83" s="59" t="s">
        <v>314</v>
      </c>
      <c r="C83" s="59" t="s">
        <v>303</v>
      </c>
      <c r="D83" s="60" t="s">
        <v>103</v>
      </c>
      <c r="E83" s="60" t="str">
        <f>CONCATENATE(C83,D83,$A$1)</f>
        <v>SIMPELL1 gal. bottleEOP 1</v>
      </c>
      <c r="F83" s="60" t="str">
        <f>CONCATENATE(C83,D83,$A$2)</f>
        <v>SIMPELL1 gal. bottleEOP 2</v>
      </c>
      <c r="G83" s="10">
        <v>60</v>
      </c>
      <c r="H83" s="48"/>
      <c r="I83" s="2"/>
      <c r="J83" s="10">
        <v>25</v>
      </c>
    </row>
    <row r="84" spans="1:10" x14ac:dyDescent="0.2">
      <c r="A84" s="58">
        <v>10900041</v>
      </c>
      <c r="B84" s="59" t="s">
        <v>314</v>
      </c>
      <c r="C84" s="59" t="s">
        <v>303</v>
      </c>
      <c r="D84" s="60" t="s">
        <v>156</v>
      </c>
      <c r="E84" s="60" t="str">
        <f>CONCATENATE(C84,D84,$A$1)</f>
        <v>SIMPELL1 gal. bottle Volume 4+EOP 1</v>
      </c>
      <c r="F84" s="60" t="str">
        <f>CONCATENATE(C84,D84,$A$2)</f>
        <v>SIMPELL1 gal. bottle Volume 4+EOP 2</v>
      </c>
      <c r="G84" s="10"/>
      <c r="H84" s="10">
        <v>85</v>
      </c>
      <c r="I84" s="2"/>
      <c r="J84" s="10">
        <v>0</v>
      </c>
    </row>
    <row r="85" spans="1:10" x14ac:dyDescent="0.2">
      <c r="A85" s="58">
        <v>10598121</v>
      </c>
      <c r="B85" s="59" t="s">
        <v>35</v>
      </c>
      <c r="C85" s="60" t="s">
        <v>82</v>
      </c>
      <c r="D85" s="60" t="s">
        <v>101</v>
      </c>
      <c r="E85" s="60" t="str">
        <f t="shared" si="2"/>
        <v>TAME 2.4 EC SPRAY1 qt. bottleEOP 1</v>
      </c>
      <c r="F85" s="60" t="str">
        <f t="shared" si="3"/>
        <v>TAME 2.4 EC SPRAY1 qt. bottleEOP 2</v>
      </c>
      <c r="G85" s="10">
        <v>4</v>
      </c>
      <c r="H85" s="2"/>
      <c r="I85" s="2"/>
      <c r="J85" s="10">
        <v>2</v>
      </c>
    </row>
    <row r="86" spans="1:10" x14ac:dyDescent="0.2">
      <c r="A86" s="58">
        <v>10599882</v>
      </c>
      <c r="B86" s="59" t="s">
        <v>36</v>
      </c>
      <c r="C86" s="60" t="s">
        <v>83</v>
      </c>
      <c r="D86" s="60" t="s">
        <v>93</v>
      </c>
      <c r="E86" s="60" t="str">
        <f t="shared" si="2"/>
        <v>TETRASAN 5 WDG1 lb. bagEOP 1</v>
      </c>
      <c r="F86" s="60" t="str">
        <f t="shared" si="3"/>
        <v>TETRASAN 5 WDG1 lb. bagEOP 2</v>
      </c>
      <c r="G86" s="10">
        <v>10</v>
      </c>
      <c r="H86" s="2"/>
      <c r="I86" s="2"/>
      <c r="J86" s="10">
        <v>3</v>
      </c>
    </row>
    <row r="87" spans="1:10" x14ac:dyDescent="0.2">
      <c r="A87" s="58">
        <v>10599882</v>
      </c>
      <c r="B87" s="59" t="s">
        <v>36</v>
      </c>
      <c r="C87" s="60" t="s">
        <v>83</v>
      </c>
      <c r="D87" s="60" t="s">
        <v>173</v>
      </c>
      <c r="E87" s="60" t="str">
        <f t="shared" ref="E87" si="40">CONCATENATE(C87,D87,$A$1)</f>
        <v>TETRASAN 5 WDG1 lb. bag Volume 8+EOP 1</v>
      </c>
      <c r="F87" s="60" t="str">
        <f t="shared" ref="F87" si="41">CONCATENATE(C87,D87,$A$2)</f>
        <v>TETRASAN 5 WDG1 lb. bag Volume 8+EOP 2</v>
      </c>
      <c r="G87" s="10"/>
      <c r="H87" s="10">
        <v>15</v>
      </c>
      <c r="I87" s="2"/>
      <c r="J87" s="10">
        <v>0</v>
      </c>
    </row>
    <row r="88" spans="1:10" x14ac:dyDescent="0.2">
      <c r="A88" s="58">
        <v>10520432</v>
      </c>
      <c r="B88" s="59" t="s">
        <v>37</v>
      </c>
      <c r="C88" s="60" t="s">
        <v>68</v>
      </c>
      <c r="D88" s="60" t="s">
        <v>101</v>
      </c>
      <c r="E88" s="60" t="str">
        <f t="shared" si="2"/>
        <v>TRISTAR 8.5 SL1 qt. bottleEOP 1</v>
      </c>
      <c r="F88" s="60" t="str">
        <f t="shared" si="3"/>
        <v>TRISTAR 8.5 SL1 qt. bottleEOP 2</v>
      </c>
      <c r="G88" s="10">
        <v>20</v>
      </c>
      <c r="H88" s="2"/>
      <c r="I88" s="2"/>
      <c r="J88" s="10">
        <v>5</v>
      </c>
    </row>
    <row r="89" spans="1:10" x14ac:dyDescent="0.2">
      <c r="A89" s="58">
        <v>10520041</v>
      </c>
      <c r="B89" s="59" t="s">
        <v>38</v>
      </c>
      <c r="C89" s="60" t="s">
        <v>68</v>
      </c>
      <c r="D89" s="60" t="s">
        <v>103</v>
      </c>
      <c r="E89" s="60" t="str">
        <f t="shared" si="2"/>
        <v>TRISTAR 8.5 SL1 gal. bottleEOP 1</v>
      </c>
      <c r="F89" s="60" t="str">
        <f t="shared" si="3"/>
        <v>TRISTAR 8.5 SL1 gal. bottleEOP 2</v>
      </c>
      <c r="G89" s="10">
        <v>100</v>
      </c>
      <c r="H89" s="2"/>
      <c r="I89" s="2"/>
      <c r="J89" s="10">
        <v>20</v>
      </c>
    </row>
    <row r="90" spans="1:10" x14ac:dyDescent="0.2">
      <c r="A90" s="58">
        <v>10520041</v>
      </c>
      <c r="B90" s="59" t="s">
        <v>38</v>
      </c>
      <c r="C90" s="60" t="s">
        <v>68</v>
      </c>
      <c r="D90" s="60" t="s">
        <v>156</v>
      </c>
      <c r="E90" s="60" t="str">
        <f t="shared" ref="E90" si="42">CONCATENATE(C90,D90,$A$1)</f>
        <v>TRISTAR 8.5 SL1 gal. bottle Volume 4+EOP 1</v>
      </c>
      <c r="F90" s="60" t="str">
        <f t="shared" ref="F90" si="43">CONCATENATE(C90,D90,$A$2)</f>
        <v>TRISTAR 8.5 SL1 gal. bottle Volume 4+EOP 2</v>
      </c>
      <c r="G90" s="10"/>
      <c r="H90" s="10">
        <v>115</v>
      </c>
      <c r="I90" s="2"/>
      <c r="J90" s="10">
        <v>0</v>
      </c>
    </row>
    <row r="91" spans="1:10" s="1" customFormat="1" x14ac:dyDescent="0.2">
      <c r="A91" s="144"/>
      <c r="B91" s="145" t="s">
        <v>39</v>
      </c>
      <c r="C91" s="146" t="s">
        <v>39</v>
      </c>
      <c r="D91" s="147"/>
      <c r="E91" s="147" t="str">
        <f t="shared" si="2"/>
        <v>FungicidesEOP 1</v>
      </c>
      <c r="F91" s="147" t="str">
        <f t="shared" si="3"/>
        <v>FungicidesEOP 2</v>
      </c>
      <c r="G91" s="148"/>
      <c r="H91" s="149"/>
      <c r="I91" s="150"/>
      <c r="J91" s="148"/>
    </row>
    <row r="92" spans="1:10" x14ac:dyDescent="0.2">
      <c r="A92" s="58">
        <v>10502225</v>
      </c>
      <c r="B92" s="59" t="s">
        <v>40</v>
      </c>
      <c r="C92" s="60" t="s">
        <v>67</v>
      </c>
      <c r="D92" s="60" t="s">
        <v>91</v>
      </c>
      <c r="E92" s="60" t="str">
        <f t="shared" si="2"/>
        <v>26/362.5 gal. bottleEOP 1</v>
      </c>
      <c r="F92" s="60" t="str">
        <f t="shared" si="3"/>
        <v>26/362.5 gal. bottleEOP 2</v>
      </c>
      <c r="G92" s="10">
        <v>20</v>
      </c>
      <c r="H92" s="2"/>
      <c r="I92" s="2"/>
      <c r="J92" s="10">
        <v>10</v>
      </c>
    </row>
    <row r="93" spans="1:10" x14ac:dyDescent="0.2">
      <c r="A93" s="58">
        <v>10502225</v>
      </c>
      <c r="B93" s="59" t="s">
        <v>40</v>
      </c>
      <c r="C93" s="60" t="s">
        <v>67</v>
      </c>
      <c r="D93" s="60" t="s">
        <v>315</v>
      </c>
      <c r="E93" s="60" t="str">
        <f t="shared" ref="E93" si="44">CONCATENATE(C93,D93,$A$1)</f>
        <v>26/362.5 gal. bottle Pairing 5EOP 1</v>
      </c>
      <c r="F93" s="60" t="str">
        <f t="shared" ref="F93" si="45">CONCATENATE(C93,D93,$A$2)</f>
        <v>26/362.5 gal. bottle Pairing 5EOP 2</v>
      </c>
      <c r="G93" s="10"/>
      <c r="H93" s="65"/>
      <c r="I93" s="10">
        <v>30</v>
      </c>
      <c r="J93" s="10">
        <v>30</v>
      </c>
    </row>
    <row r="94" spans="1:10" x14ac:dyDescent="0.2">
      <c r="A94" s="58">
        <v>10495032</v>
      </c>
      <c r="B94" s="59" t="s">
        <v>43</v>
      </c>
      <c r="C94" s="60" t="s">
        <v>63</v>
      </c>
      <c r="D94" s="60" t="s">
        <v>99</v>
      </c>
      <c r="E94" s="60" t="str">
        <f>CONCATENATE(C94,D94,$A$1)</f>
        <v>3336 DG LITE30 lb. bagEOP 1</v>
      </c>
      <c r="F94" s="60" t="str">
        <f>CONCATENATE(C94,D94,$A$2)</f>
        <v>3336 DG LITE30 lb. bagEOP 2</v>
      </c>
      <c r="G94" s="10">
        <v>3</v>
      </c>
      <c r="H94" s="2"/>
      <c r="I94" s="2"/>
      <c r="J94" s="10">
        <v>1</v>
      </c>
    </row>
    <row r="95" spans="1:10" x14ac:dyDescent="0.2">
      <c r="A95" s="58">
        <v>10556045</v>
      </c>
      <c r="B95" s="59" t="s">
        <v>41</v>
      </c>
      <c r="C95" s="60" t="s">
        <v>70</v>
      </c>
      <c r="D95" s="60" t="s">
        <v>116</v>
      </c>
      <c r="E95" s="60" t="str">
        <f t="shared" si="2"/>
        <v>3336 EG5 lb. bottleEOP 1</v>
      </c>
      <c r="F95" s="60" t="str">
        <f t="shared" si="3"/>
        <v>3336 EG5 lb. bottleEOP 2</v>
      </c>
      <c r="G95" s="10">
        <v>10</v>
      </c>
      <c r="H95" s="2"/>
      <c r="I95" s="2"/>
      <c r="J95" s="10">
        <v>3</v>
      </c>
    </row>
    <row r="96" spans="1:10" x14ac:dyDescent="0.2">
      <c r="A96" s="58">
        <v>10498121</v>
      </c>
      <c r="B96" s="59" t="s">
        <v>42</v>
      </c>
      <c r="C96" s="60" t="s">
        <v>64</v>
      </c>
      <c r="D96" s="60" t="s">
        <v>101</v>
      </c>
      <c r="E96" s="60" t="str">
        <f t="shared" si="2"/>
        <v>3336 F1 qt. bottleEOP 1</v>
      </c>
      <c r="F96" s="60" t="str">
        <f t="shared" si="3"/>
        <v>3336 F1 qt. bottleEOP 2</v>
      </c>
      <c r="G96" s="10">
        <v>3</v>
      </c>
      <c r="H96" s="2"/>
      <c r="I96" s="2"/>
      <c r="J96" s="10">
        <v>1</v>
      </c>
    </row>
    <row r="97" spans="1:10" x14ac:dyDescent="0.2">
      <c r="A97" s="58">
        <v>10498225</v>
      </c>
      <c r="B97" s="59" t="s">
        <v>132</v>
      </c>
      <c r="C97" s="60" t="s">
        <v>64</v>
      </c>
      <c r="D97" s="60" t="s">
        <v>91</v>
      </c>
      <c r="E97" s="60" t="str">
        <f t="shared" si="2"/>
        <v>3336 F2.5 gal. bottleEOP 1</v>
      </c>
      <c r="F97" s="60" t="str">
        <f t="shared" si="3"/>
        <v>3336 F2.5 gal. bottleEOP 2</v>
      </c>
      <c r="G97" s="10">
        <v>30</v>
      </c>
      <c r="H97" s="10"/>
      <c r="I97" s="2"/>
      <c r="J97" s="10">
        <v>10</v>
      </c>
    </row>
    <row r="98" spans="1:10" x14ac:dyDescent="0.2">
      <c r="A98" s="58">
        <v>10498225</v>
      </c>
      <c r="B98" s="59" t="s">
        <v>132</v>
      </c>
      <c r="C98" s="60" t="s">
        <v>64</v>
      </c>
      <c r="D98" s="60" t="s">
        <v>316</v>
      </c>
      <c r="E98" s="60" t="str">
        <f t="shared" ref="E98" si="46">CONCATENATE(C98,D98,$A$1)</f>
        <v>3336 F2.5 gal. bottle Volume 4+EOP 1</v>
      </c>
      <c r="F98" s="60" t="str">
        <f t="shared" ref="F98" si="47">CONCATENATE(C98,D98,$A$2)</f>
        <v>3336 F2.5 gal. bottle Volume 4+EOP 2</v>
      </c>
      <c r="G98" s="10"/>
      <c r="H98" s="10">
        <v>60</v>
      </c>
      <c r="I98" s="2"/>
      <c r="J98" s="10">
        <v>0</v>
      </c>
    </row>
    <row r="99" spans="1:10" x14ac:dyDescent="0.2">
      <c r="A99" s="58">
        <v>10579121</v>
      </c>
      <c r="B99" s="59" t="s">
        <v>44</v>
      </c>
      <c r="C99" s="60" t="s">
        <v>71</v>
      </c>
      <c r="D99" s="60" t="s">
        <v>101</v>
      </c>
      <c r="E99" s="60" t="str">
        <f t="shared" si="2"/>
        <v>ADORN1 qt. bottleEOP 1</v>
      </c>
      <c r="F99" s="60" t="str">
        <f t="shared" si="3"/>
        <v>ADORN1 qt. bottleEOP 2</v>
      </c>
      <c r="G99" s="10">
        <v>15</v>
      </c>
      <c r="H99" s="2"/>
      <c r="I99" s="2"/>
      <c r="J99" s="10">
        <v>4</v>
      </c>
    </row>
    <row r="100" spans="1:10" x14ac:dyDescent="0.2">
      <c r="A100" s="58">
        <v>10500324</v>
      </c>
      <c r="B100" s="59" t="s">
        <v>45</v>
      </c>
      <c r="C100" s="60" t="s">
        <v>65</v>
      </c>
      <c r="D100" s="60" t="s">
        <v>106</v>
      </c>
      <c r="E100" s="60" t="str">
        <f t="shared" si="2"/>
        <v>AFFIRM WDG2.4 lb. bagEOP 1</v>
      </c>
      <c r="F100" s="60" t="str">
        <f t="shared" si="3"/>
        <v>AFFIRM WDG2.4 lb. bagEOP 2</v>
      </c>
      <c r="G100" s="10">
        <v>10</v>
      </c>
      <c r="H100" s="2"/>
      <c r="I100" s="2"/>
      <c r="J100" s="10">
        <v>5</v>
      </c>
    </row>
    <row r="101" spans="1:10" x14ac:dyDescent="0.2">
      <c r="A101" s="58">
        <v>10500324</v>
      </c>
      <c r="B101" s="59" t="s">
        <v>45</v>
      </c>
      <c r="C101" s="60" t="s">
        <v>65</v>
      </c>
      <c r="D101" s="60" t="s">
        <v>234</v>
      </c>
      <c r="E101" s="60" t="str">
        <f t="shared" ref="E101" si="48">CONCATENATE(C101,D101,$A$1)</f>
        <v>AFFIRM WDG2.4 lb. bag Volume 6+EOP 1</v>
      </c>
      <c r="F101" s="60" t="str">
        <f t="shared" ref="F101" si="49">CONCATENATE(C101,D101,$A$2)</f>
        <v>AFFIRM WDG2.4 lb. bag Volume 6+EOP 2</v>
      </c>
      <c r="G101" s="10"/>
      <c r="H101" s="10">
        <v>25</v>
      </c>
      <c r="I101" s="2"/>
      <c r="J101" s="10">
        <v>0</v>
      </c>
    </row>
    <row r="102" spans="1:10" x14ac:dyDescent="0.2">
      <c r="A102" s="58">
        <v>10560410</v>
      </c>
      <c r="B102" s="59" t="s">
        <v>211</v>
      </c>
      <c r="C102" s="60" t="s">
        <v>212</v>
      </c>
      <c r="D102" s="60" t="s">
        <v>210</v>
      </c>
      <c r="E102" s="60" t="str">
        <f t="shared" ref="E102" si="50">CONCATENATE(C102,D102,$A$1)</f>
        <v>CHAMPION++10 lb. bagEOP 1</v>
      </c>
      <c r="F102" s="60" t="str">
        <f t="shared" ref="F102" si="51">CONCATENATE(C102,D102,$A$2)</f>
        <v>CHAMPION++10 lb. bagEOP 2</v>
      </c>
      <c r="G102" s="10">
        <v>5</v>
      </c>
      <c r="H102" s="2"/>
      <c r="I102" s="2"/>
      <c r="J102" s="10">
        <v>3</v>
      </c>
    </row>
    <row r="103" spans="1:10" x14ac:dyDescent="0.2">
      <c r="A103" s="58">
        <v>10906225</v>
      </c>
      <c r="B103" s="59" t="s">
        <v>235</v>
      </c>
      <c r="C103" s="60" t="s">
        <v>213</v>
      </c>
      <c r="D103" s="60" t="s">
        <v>91</v>
      </c>
      <c r="E103" s="60" t="str">
        <f>CONCATENATE(C103,D103,$A$1)</f>
        <v>CURATOR2.5 gal. bottleEOP 1</v>
      </c>
      <c r="F103" s="60" t="str">
        <f>CONCATENATE(C103,D103,$A$2)</f>
        <v>CURATOR2.5 gal. bottleEOP 2</v>
      </c>
      <c r="G103" s="10">
        <v>55</v>
      </c>
      <c r="H103" s="2"/>
      <c r="I103" s="2"/>
      <c r="J103" s="10">
        <v>15</v>
      </c>
    </row>
    <row r="104" spans="1:10" x14ac:dyDescent="0.2">
      <c r="A104" s="58">
        <v>10906225</v>
      </c>
      <c r="B104" s="59" t="s">
        <v>235</v>
      </c>
      <c r="C104" s="60" t="s">
        <v>213</v>
      </c>
      <c r="D104" s="60" t="s">
        <v>242</v>
      </c>
      <c r="E104" s="60" t="str">
        <f>CONCATENATE(C104,D104,$A$1)</f>
        <v>CURATOR2.5 gal bottle Volume 4+EOP 1</v>
      </c>
      <c r="F104" s="60" t="str">
        <f>CONCATENATE(C104,D104,$A$2)</f>
        <v>CURATOR2.5 gal bottle Volume 4+EOP 2</v>
      </c>
      <c r="G104" s="10"/>
      <c r="H104" s="10">
        <v>130</v>
      </c>
      <c r="I104" s="2"/>
      <c r="J104" s="10">
        <v>0</v>
      </c>
    </row>
    <row r="105" spans="1:10" x14ac:dyDescent="0.2">
      <c r="A105" s="58">
        <v>10906225</v>
      </c>
      <c r="B105" s="59" t="s">
        <v>235</v>
      </c>
      <c r="C105" s="60" t="s">
        <v>213</v>
      </c>
      <c r="D105" s="60" t="s">
        <v>241</v>
      </c>
      <c r="E105" s="60" t="str">
        <f>CONCATENATE(C105,D105,$A$1)</f>
        <v>CURATOR2.5 gal bottle Pairing 1EOP 1</v>
      </c>
      <c r="F105" s="60" t="str">
        <f>CONCATENATE(C105,D105,$A$2)</f>
        <v>CURATOR2.5 gal bottle Pairing 1EOP 2</v>
      </c>
      <c r="G105" s="10"/>
      <c r="H105" s="10"/>
      <c r="I105" s="10">
        <v>145</v>
      </c>
      <c r="J105" s="10">
        <v>145</v>
      </c>
    </row>
    <row r="106" spans="1:10" x14ac:dyDescent="0.2">
      <c r="A106" s="58">
        <v>10702460</v>
      </c>
      <c r="B106" s="59" t="s">
        <v>177</v>
      </c>
      <c r="C106" s="60" t="s">
        <v>176</v>
      </c>
      <c r="D106" s="60" t="s">
        <v>107</v>
      </c>
      <c r="E106" s="60" t="str">
        <f t="shared" si="2"/>
        <v>PINPOINT60 fl oz. bottleEOP 1</v>
      </c>
      <c r="F106" s="60" t="str">
        <f t="shared" si="3"/>
        <v>PINPOINT60 fl oz. bottleEOP 2</v>
      </c>
      <c r="G106" s="10">
        <v>10</v>
      </c>
      <c r="H106" s="10"/>
      <c r="I106" s="2"/>
      <c r="J106" s="10">
        <v>5</v>
      </c>
    </row>
    <row r="107" spans="1:10" x14ac:dyDescent="0.2">
      <c r="A107" s="58">
        <v>10702460</v>
      </c>
      <c r="B107" s="59" t="s">
        <v>177</v>
      </c>
      <c r="C107" s="60" t="s">
        <v>176</v>
      </c>
      <c r="D107" s="60" t="s">
        <v>178</v>
      </c>
      <c r="E107" s="60" t="str">
        <f t="shared" ref="E107" si="52">CONCATENATE(C107,D107,$A$1)</f>
        <v>PINPOINT60 fl oz. bottle Volume 8+EOP 1</v>
      </c>
      <c r="F107" s="60" t="str">
        <f t="shared" ref="F107" si="53">CONCATENATE(C107,D107,$A$2)</f>
        <v>PINPOINT60 fl oz. bottle Volume 8+EOP 2</v>
      </c>
      <c r="G107" s="10"/>
      <c r="H107" s="10">
        <v>30</v>
      </c>
      <c r="I107" s="2"/>
      <c r="J107" s="10">
        <v>0</v>
      </c>
    </row>
    <row r="108" spans="1:10" x14ac:dyDescent="0.2">
      <c r="A108" s="58">
        <v>10501045</v>
      </c>
      <c r="B108" s="59" t="s">
        <v>46</v>
      </c>
      <c r="C108" s="60" t="s">
        <v>66</v>
      </c>
      <c r="D108" s="60" t="s">
        <v>105</v>
      </c>
      <c r="E108" s="60" t="str">
        <f t="shared" si="2"/>
        <v>SPECTRO 90 WDG5 lb. bagEOP 1</v>
      </c>
      <c r="F108" s="60" t="str">
        <f t="shared" si="3"/>
        <v>SPECTRO 90 WDG5 lb. bagEOP 2</v>
      </c>
      <c r="G108" s="10">
        <v>5</v>
      </c>
      <c r="H108" s="2"/>
      <c r="I108" s="2"/>
      <c r="J108" s="10">
        <v>2</v>
      </c>
    </row>
    <row r="109" spans="1:10" x14ac:dyDescent="0.2">
      <c r="A109" s="58">
        <v>10726861</v>
      </c>
      <c r="B109" s="59" t="s">
        <v>47</v>
      </c>
      <c r="C109" s="60" t="s">
        <v>134</v>
      </c>
      <c r="D109" s="60" t="s">
        <v>97</v>
      </c>
      <c r="E109" s="60" t="str">
        <f t="shared" si="2"/>
        <v>SPIRATO GHN1 pt. bottleEOP 1</v>
      </c>
      <c r="F109" s="60" t="str">
        <f t="shared" si="3"/>
        <v>SPIRATO GHN1 pt. bottleEOP 2</v>
      </c>
      <c r="G109" s="10">
        <v>20</v>
      </c>
      <c r="H109" s="10"/>
      <c r="I109" s="2"/>
      <c r="J109" s="10">
        <v>5</v>
      </c>
    </row>
    <row r="110" spans="1:10" x14ac:dyDescent="0.2">
      <c r="A110" s="58">
        <v>10726861</v>
      </c>
      <c r="B110" s="59" t="s">
        <v>47</v>
      </c>
      <c r="C110" s="60" t="s">
        <v>134</v>
      </c>
      <c r="D110" s="60" t="s">
        <v>179</v>
      </c>
      <c r="E110" s="60" t="str">
        <f t="shared" ref="E110" si="54">CONCATENATE(C110,D110,$A$1)</f>
        <v>SPIRATO GHN1 pt. bottle Volume 8+EOP 1</v>
      </c>
      <c r="F110" s="60" t="str">
        <f t="shared" ref="F110" si="55">CONCATENATE(C110,D110,$A$2)</f>
        <v>SPIRATO GHN1 pt. bottle Volume 8+EOP 2</v>
      </c>
      <c r="G110" s="10"/>
      <c r="H110" s="10">
        <v>50</v>
      </c>
      <c r="I110" s="2"/>
      <c r="J110" s="10">
        <v>0</v>
      </c>
    </row>
    <row r="111" spans="1:10" x14ac:dyDescent="0.2">
      <c r="A111" s="58">
        <v>10492051</v>
      </c>
      <c r="B111" s="59" t="s">
        <v>48</v>
      </c>
      <c r="C111" s="60" t="s">
        <v>62</v>
      </c>
      <c r="D111" s="60" t="s">
        <v>103</v>
      </c>
      <c r="E111" s="60" t="str">
        <f t="shared" si="2"/>
        <v>TORQUE1 gal. bottleEOP 1</v>
      </c>
      <c r="F111" s="60" t="str">
        <f t="shared" si="3"/>
        <v>TORQUE1 gal. bottleEOP 2</v>
      </c>
      <c r="G111" s="10">
        <v>8</v>
      </c>
      <c r="H111" s="2"/>
      <c r="I111" s="2"/>
      <c r="J111" s="10">
        <v>4</v>
      </c>
    </row>
    <row r="112" spans="1:10" x14ac:dyDescent="0.2">
      <c r="A112" s="58">
        <v>10854861</v>
      </c>
      <c r="B112" s="59" t="s">
        <v>206</v>
      </c>
      <c r="C112" s="60" t="s">
        <v>136</v>
      </c>
      <c r="D112" s="60" t="s">
        <v>97</v>
      </c>
      <c r="E112" s="60" t="str">
        <f t="shared" si="2"/>
        <v>TOURNEY EZ1 pt. bottleEOP 1</v>
      </c>
      <c r="F112" s="60" t="str">
        <f t="shared" si="3"/>
        <v>TOURNEY EZ1 pt. bottleEOP 2</v>
      </c>
      <c r="G112" s="10">
        <v>12</v>
      </c>
      <c r="H112" s="10"/>
      <c r="I112" s="2"/>
      <c r="J112" s="10">
        <v>4</v>
      </c>
    </row>
    <row r="113" spans="1:10" x14ac:dyDescent="0.2">
      <c r="A113" s="58">
        <v>10854041</v>
      </c>
      <c r="B113" s="59" t="s">
        <v>180</v>
      </c>
      <c r="C113" s="60" t="s">
        <v>136</v>
      </c>
      <c r="D113" s="60" t="s">
        <v>103</v>
      </c>
      <c r="E113" s="60" t="str">
        <f t="shared" ref="E113:E114" si="56">CONCATENATE(C113,D113,$A$1)</f>
        <v>TOURNEY EZ1 gal. bottleEOP 1</v>
      </c>
      <c r="F113" s="60" t="str">
        <f t="shared" ref="F113:F114" si="57">CONCATENATE(C113,D113,$A$2)</f>
        <v>TOURNEY EZ1 gal. bottleEOP 2</v>
      </c>
      <c r="G113" s="10">
        <v>75</v>
      </c>
      <c r="H113" s="10"/>
      <c r="I113" s="2"/>
      <c r="J113" s="10">
        <v>30</v>
      </c>
    </row>
    <row r="114" spans="1:10" x14ac:dyDescent="0.2">
      <c r="A114" s="58">
        <v>10854041</v>
      </c>
      <c r="B114" s="59" t="s">
        <v>180</v>
      </c>
      <c r="C114" s="60" t="s">
        <v>136</v>
      </c>
      <c r="D114" s="60" t="s">
        <v>156</v>
      </c>
      <c r="E114" s="60" t="str">
        <f t="shared" si="56"/>
        <v>TOURNEY EZ1 gal. bottle Volume 4+EOP 1</v>
      </c>
      <c r="F114" s="60" t="str">
        <f t="shared" si="57"/>
        <v>TOURNEY EZ1 gal. bottle Volume 4+EOP 2</v>
      </c>
      <c r="G114" s="10"/>
      <c r="H114" s="10">
        <v>110</v>
      </c>
      <c r="I114" s="2"/>
      <c r="J114" s="10">
        <v>0</v>
      </c>
    </row>
    <row r="115" spans="1:10" x14ac:dyDescent="0.2">
      <c r="A115" s="58">
        <v>10854041</v>
      </c>
      <c r="B115" s="59" t="s">
        <v>180</v>
      </c>
      <c r="C115" s="60" t="s">
        <v>136</v>
      </c>
      <c r="D115" s="60" t="s">
        <v>236</v>
      </c>
      <c r="E115" s="60" t="str">
        <f t="shared" ref="E115" si="58">CONCATENATE(C115,D115,$A$1)</f>
        <v>TOURNEY EZ1 gal. bottle Pairing 2EOP 1</v>
      </c>
      <c r="F115" s="60" t="str">
        <f t="shared" ref="F115" si="59">CONCATENATE(C115,D115,$A$2)</f>
        <v>TOURNEY EZ1 gal. bottle Pairing 2EOP 2</v>
      </c>
      <c r="G115" s="10"/>
      <c r="H115" s="2"/>
      <c r="I115" s="10">
        <v>140</v>
      </c>
      <c r="J115" s="10">
        <v>140</v>
      </c>
    </row>
    <row r="116" spans="1:10" x14ac:dyDescent="0.2">
      <c r="A116" s="58">
        <v>10723225</v>
      </c>
      <c r="B116" s="59" t="s">
        <v>181</v>
      </c>
      <c r="C116" s="60" t="s">
        <v>133</v>
      </c>
      <c r="D116" s="60" t="s">
        <v>91</v>
      </c>
      <c r="E116" s="60" t="str">
        <f t="shared" ref="E116" si="60">CONCATENATE(C116,D116,$A$1)</f>
        <v>TRACTION2.5 gal. bottleEOP 1</v>
      </c>
      <c r="F116" s="60" t="str">
        <f t="shared" ref="F116" si="61">CONCATENATE(C116,D116,$A$2)</f>
        <v>TRACTION2.5 gal. bottleEOP 2</v>
      </c>
      <c r="G116" s="10">
        <v>20</v>
      </c>
      <c r="H116" s="10"/>
      <c r="I116" s="2"/>
      <c r="J116" s="10">
        <v>17</v>
      </c>
    </row>
    <row r="117" spans="1:10" x14ac:dyDescent="0.2">
      <c r="A117" s="58">
        <v>10723225</v>
      </c>
      <c r="B117" s="59" t="s">
        <v>181</v>
      </c>
      <c r="C117" s="60" t="s">
        <v>133</v>
      </c>
      <c r="D117" s="60" t="s">
        <v>145</v>
      </c>
      <c r="E117" s="60" t="str">
        <f t="shared" si="2"/>
        <v>TRACTION2.5 gal. bottle Volume 6+EOP 1</v>
      </c>
      <c r="F117" s="60" t="str">
        <f t="shared" si="3"/>
        <v>TRACTION2.5 gal. bottle Volume 6+EOP 2</v>
      </c>
      <c r="G117" s="10"/>
      <c r="H117" s="10">
        <v>55</v>
      </c>
      <c r="I117" s="2"/>
      <c r="J117" s="10">
        <v>0</v>
      </c>
    </row>
    <row r="118" spans="1:10" x14ac:dyDescent="0.2">
      <c r="A118" s="58">
        <v>10723225</v>
      </c>
      <c r="B118" s="59" t="s">
        <v>181</v>
      </c>
      <c r="C118" s="60" t="s">
        <v>133</v>
      </c>
      <c r="D118" s="60" t="s">
        <v>323</v>
      </c>
      <c r="E118" s="60" t="str">
        <f t="shared" ref="E118" si="62">CONCATENATE(C118,D118,$A$1)</f>
        <v>TRACTION2.5 gal. bottle Pairing 3EOP 1</v>
      </c>
      <c r="F118" s="60" t="str">
        <f t="shared" ref="F118" si="63">CONCATENATE(C118,D118,$A$2)</f>
        <v>TRACTION2.5 gal. bottle Pairing 3EOP 2</v>
      </c>
      <c r="G118" s="10"/>
      <c r="H118" s="10"/>
      <c r="I118" s="10">
        <v>75</v>
      </c>
      <c r="J118" s="10">
        <v>75</v>
      </c>
    </row>
    <row r="119" spans="1:10" x14ac:dyDescent="0.2">
      <c r="A119" s="58">
        <v>10723225</v>
      </c>
      <c r="B119" s="59" t="s">
        <v>181</v>
      </c>
      <c r="C119" s="60" t="s">
        <v>133</v>
      </c>
      <c r="D119" s="60" t="s">
        <v>315</v>
      </c>
      <c r="E119" s="60" t="str">
        <f t="shared" ref="E119" si="64">CONCATENATE(C119,D119,$A$1)</f>
        <v>TRACTION2.5 gal. bottle Pairing 5EOP 1</v>
      </c>
      <c r="F119" s="60" t="str">
        <f t="shared" ref="F119" si="65">CONCATENATE(C119,D119,$A$2)</f>
        <v>TRACTION2.5 gal. bottle Pairing 5EOP 2</v>
      </c>
      <c r="G119" s="10"/>
      <c r="H119" s="12"/>
      <c r="I119" s="10">
        <v>75</v>
      </c>
      <c r="J119" s="10">
        <v>75</v>
      </c>
    </row>
    <row r="120" spans="1:10" x14ac:dyDescent="0.2">
      <c r="A120" s="58">
        <v>10915464</v>
      </c>
      <c r="B120" s="59" t="s">
        <v>304</v>
      </c>
      <c r="C120" s="60" t="s">
        <v>304</v>
      </c>
      <c r="D120" s="60" t="s">
        <v>98</v>
      </c>
      <c r="E120" s="60" t="str">
        <f>CONCATENATE(C120,D120,$A$1)</f>
        <v>VERDATO64 fl oz. bottleEOP 1</v>
      </c>
      <c r="F120" s="60" t="str">
        <f>CONCATENATE(C120,D120,$A$2)</f>
        <v>VERDATO64 fl oz. bottleEOP 2</v>
      </c>
      <c r="G120" s="10">
        <v>100</v>
      </c>
      <c r="H120" s="65"/>
      <c r="I120" s="48"/>
      <c r="J120" s="10">
        <v>30</v>
      </c>
    </row>
    <row r="121" spans="1:10" x14ac:dyDescent="0.2">
      <c r="A121" s="58">
        <v>10915464</v>
      </c>
      <c r="B121" s="59" t="s">
        <v>304</v>
      </c>
      <c r="C121" s="60" t="s">
        <v>304</v>
      </c>
      <c r="D121" s="60" t="s">
        <v>305</v>
      </c>
      <c r="E121" s="60" t="str">
        <f>CONCATENATE(C121,D121,$A$1)</f>
        <v>VERDATO64 fl oz. bottle Volume 4+EOP 1</v>
      </c>
      <c r="F121" s="60" t="str">
        <f>CONCATENATE(C121,D121,$A$2)</f>
        <v>VERDATO64 fl oz. bottle Volume 4+EOP 2</v>
      </c>
      <c r="G121" s="10"/>
      <c r="H121" s="10">
        <v>150</v>
      </c>
      <c r="I121" s="48"/>
      <c r="J121" s="10">
        <v>0</v>
      </c>
    </row>
    <row r="122" spans="1:10" s="1" customFormat="1" x14ac:dyDescent="0.2">
      <c r="A122" s="144"/>
      <c r="B122" s="145" t="s">
        <v>49</v>
      </c>
      <c r="C122" s="146" t="s">
        <v>49</v>
      </c>
      <c r="D122" s="147"/>
      <c r="E122" s="147" t="str">
        <f t="shared" si="2"/>
        <v>Plant Growth RegulatorsEOP 1</v>
      </c>
      <c r="F122" s="147" t="str">
        <f t="shared" si="3"/>
        <v>Plant Growth RegulatorsEOP 2</v>
      </c>
      <c r="G122" s="148"/>
      <c r="H122" s="149"/>
      <c r="I122" s="150"/>
      <c r="J122" s="148"/>
    </row>
    <row r="123" spans="1:10" x14ac:dyDescent="0.2">
      <c r="A123" s="58">
        <v>10571443</v>
      </c>
      <c r="B123" s="59" t="s">
        <v>182</v>
      </c>
      <c r="C123" s="60" t="s">
        <v>139</v>
      </c>
      <c r="D123" s="60" t="s">
        <v>140</v>
      </c>
      <c r="E123" s="60" t="str">
        <f t="shared" si="2"/>
        <v>ANUEW1.5 lb. packEOP 1</v>
      </c>
      <c r="F123" s="60" t="str">
        <f t="shared" si="3"/>
        <v>ANUEW1.5 lb. packEOP 2</v>
      </c>
      <c r="G123" s="10">
        <v>8</v>
      </c>
      <c r="H123" s="10"/>
      <c r="I123" s="2"/>
      <c r="J123" s="10">
        <v>4</v>
      </c>
    </row>
    <row r="124" spans="1:10" x14ac:dyDescent="0.2">
      <c r="A124" s="58">
        <v>10571443</v>
      </c>
      <c r="B124" s="59" t="s">
        <v>182</v>
      </c>
      <c r="C124" s="60" t="s">
        <v>139</v>
      </c>
      <c r="D124" s="60" t="s">
        <v>183</v>
      </c>
      <c r="E124" s="60" t="str">
        <f t="shared" ref="E124:E126" si="66">CONCATENATE(C124,D124,$A$1)</f>
        <v>ANUEW1.5 lb. pack Volume 32+EOP 1</v>
      </c>
      <c r="F124" s="60" t="str">
        <f t="shared" ref="F124:F126" si="67">CONCATENATE(C124,D124,$A$2)</f>
        <v>ANUEW1.5 lb. pack Volume 32+EOP 2</v>
      </c>
      <c r="G124" s="10"/>
      <c r="H124" s="10">
        <v>18</v>
      </c>
      <c r="I124" s="2"/>
      <c r="J124" s="10">
        <v>0</v>
      </c>
    </row>
    <row r="125" spans="1:10" x14ac:dyDescent="0.2">
      <c r="A125" s="58">
        <v>10571443</v>
      </c>
      <c r="B125" s="59" t="s">
        <v>182</v>
      </c>
      <c r="C125" s="60" t="s">
        <v>139</v>
      </c>
      <c r="D125" s="60" t="s">
        <v>233</v>
      </c>
      <c r="E125" s="60" t="str">
        <f t="shared" ref="E125" si="68">CONCATENATE(C125,D125,$A$1)</f>
        <v>ANUEW1.5 lb. pack Pairing 1-4EOP 1</v>
      </c>
      <c r="F125" s="60" t="str">
        <f t="shared" ref="F125" si="69">CONCATENATE(C125,D125,$A$2)</f>
        <v>ANUEW1.5 lb. pack Pairing 1-4EOP 2</v>
      </c>
      <c r="G125" s="10"/>
      <c r="H125" s="10"/>
      <c r="I125" s="19">
        <v>25</v>
      </c>
      <c r="J125" s="10">
        <v>25</v>
      </c>
    </row>
    <row r="126" spans="1:10" x14ac:dyDescent="0.2">
      <c r="A126" s="58">
        <v>10850464</v>
      </c>
      <c r="B126" s="59" t="s">
        <v>141</v>
      </c>
      <c r="C126" s="60" t="s">
        <v>135</v>
      </c>
      <c r="D126" s="60" t="s">
        <v>98</v>
      </c>
      <c r="E126" s="60" t="str">
        <f t="shared" si="66"/>
        <v>ANUEW EZ64 fl oz. bottleEOP 1</v>
      </c>
      <c r="F126" s="60" t="str">
        <f t="shared" si="67"/>
        <v>ANUEW EZ64 fl oz. bottleEOP 2</v>
      </c>
      <c r="G126" s="10">
        <v>10</v>
      </c>
      <c r="H126" s="10"/>
      <c r="I126" s="2"/>
      <c r="J126" s="10">
        <v>5</v>
      </c>
    </row>
    <row r="127" spans="1:10" x14ac:dyDescent="0.2">
      <c r="A127" s="58">
        <v>10849225</v>
      </c>
      <c r="B127" s="59" t="s">
        <v>184</v>
      </c>
      <c r="C127" s="60" t="s">
        <v>135</v>
      </c>
      <c r="D127" s="60" t="s">
        <v>91</v>
      </c>
      <c r="E127" s="60" t="str">
        <f t="shared" ref="E127:E128" si="70">CONCATENATE(C127,D127,$A$1)</f>
        <v>ANUEW EZ2.5 gal. bottleEOP 1</v>
      </c>
      <c r="F127" s="60" t="str">
        <f t="shared" ref="F127:F128" si="71">CONCATENATE(C127,D127,$A$2)</f>
        <v>ANUEW EZ2.5 gal. bottleEOP 2</v>
      </c>
      <c r="G127" s="10">
        <v>48</v>
      </c>
      <c r="H127" s="10"/>
      <c r="I127" s="2"/>
      <c r="J127" s="10">
        <v>24</v>
      </c>
    </row>
    <row r="128" spans="1:10" x14ac:dyDescent="0.2">
      <c r="A128" s="58">
        <v>10849225</v>
      </c>
      <c r="B128" s="59" t="s">
        <v>184</v>
      </c>
      <c r="C128" s="60" t="s">
        <v>135</v>
      </c>
      <c r="D128" s="60" t="s">
        <v>145</v>
      </c>
      <c r="E128" s="60" t="str">
        <f t="shared" si="70"/>
        <v>ANUEW EZ2.5 gal. bottle Volume 6+EOP 1</v>
      </c>
      <c r="F128" s="60" t="str">
        <f t="shared" si="71"/>
        <v>ANUEW EZ2.5 gal. bottle Volume 6+EOP 2</v>
      </c>
      <c r="G128" s="10"/>
      <c r="H128" s="10">
        <v>125</v>
      </c>
      <c r="I128" s="2"/>
      <c r="J128" s="10">
        <v>0</v>
      </c>
    </row>
    <row r="129" spans="1:10" x14ac:dyDescent="0.2">
      <c r="A129" s="58">
        <v>10849225</v>
      </c>
      <c r="B129" s="59" t="s">
        <v>184</v>
      </c>
      <c r="C129" s="60" t="s">
        <v>135</v>
      </c>
      <c r="D129" s="60" t="s">
        <v>312</v>
      </c>
      <c r="E129" s="60" t="str">
        <f t="shared" ref="E129" si="72">CONCATENATE(C129,D129,$A$1)</f>
        <v>ANUEW EZ2.5 gal. bottle Pairing 1-4EOP 1</v>
      </c>
      <c r="F129" s="60" t="str">
        <f t="shared" ref="F129" si="73">CONCATENATE(C129,D129,$A$2)</f>
        <v>ANUEW EZ2.5 gal. bottle Pairing 1-4EOP 2</v>
      </c>
      <c r="G129" s="10"/>
      <c r="H129" s="10"/>
      <c r="I129" s="19">
        <v>150</v>
      </c>
      <c r="J129" s="10">
        <v>150</v>
      </c>
    </row>
    <row r="130" spans="1:10" x14ac:dyDescent="0.2">
      <c r="A130" s="58">
        <v>10590414</v>
      </c>
      <c r="B130" s="59" t="s">
        <v>50</v>
      </c>
      <c r="C130" s="60" t="s">
        <v>77</v>
      </c>
      <c r="D130" s="60" t="s">
        <v>108</v>
      </c>
      <c r="E130" s="60" t="str">
        <f t="shared" si="2"/>
        <v>FASCINATION0.5 gal. bottleEOP 1</v>
      </c>
      <c r="F130" s="60" t="str">
        <f t="shared" si="3"/>
        <v>FASCINATION0.5 gal. bottleEOP 2</v>
      </c>
      <c r="G130" s="10">
        <v>12</v>
      </c>
      <c r="H130" s="2"/>
      <c r="I130" s="2"/>
      <c r="J130" s="10">
        <v>4</v>
      </c>
    </row>
    <row r="131" spans="1:10" x14ac:dyDescent="0.2">
      <c r="A131" s="58">
        <v>10596041</v>
      </c>
      <c r="B131" s="59" t="s">
        <v>51</v>
      </c>
      <c r="C131" s="60" t="s">
        <v>81</v>
      </c>
      <c r="D131" s="60" t="s">
        <v>103</v>
      </c>
      <c r="E131" s="60" t="str">
        <f t="shared" si="2"/>
        <v>SUMAGIC1 gal. bottleEOP 1</v>
      </c>
      <c r="F131" s="60" t="str">
        <f t="shared" si="3"/>
        <v>SUMAGIC1 gal. bottleEOP 2</v>
      </c>
      <c r="G131" s="10">
        <v>10</v>
      </c>
      <c r="H131" s="2"/>
      <c r="I131" s="2"/>
      <c r="J131" s="10">
        <v>5</v>
      </c>
    </row>
    <row r="132" spans="1:10" x14ac:dyDescent="0.2">
      <c r="A132" s="62">
        <v>10596515</v>
      </c>
      <c r="B132" s="63" t="s">
        <v>52</v>
      </c>
      <c r="C132" s="64" t="s">
        <v>81</v>
      </c>
      <c r="D132" s="64" t="s">
        <v>109</v>
      </c>
      <c r="E132" s="64" t="str">
        <f t="shared" si="2"/>
        <v>SUMAGIC15 gal. drumEOP 1</v>
      </c>
      <c r="F132" s="64" t="str">
        <f t="shared" si="3"/>
        <v>SUMAGIC15 gal. drumEOP 2</v>
      </c>
      <c r="G132" s="17">
        <v>150</v>
      </c>
      <c r="H132" s="18"/>
      <c r="I132" s="18"/>
      <c r="J132" s="17">
        <v>75</v>
      </c>
    </row>
    <row r="134" spans="1:10" ht="18" x14ac:dyDescent="0.25">
      <c r="I134" s="50"/>
      <c r="J134" s="51"/>
    </row>
    <row r="135" spans="1:10" x14ac:dyDescent="0.2">
      <c r="I135" s="11"/>
      <c r="J135" s="12"/>
    </row>
    <row r="137" spans="1:10" x14ac:dyDescent="0.2">
      <c r="A137" s="6"/>
      <c r="B137" s="6"/>
      <c r="C137" s="8"/>
      <c r="D137" s="8"/>
      <c r="E137" s="8"/>
      <c r="F137" s="8"/>
      <c r="I137" s="4"/>
    </row>
    <row r="138" spans="1:10" x14ac:dyDescent="0.2">
      <c r="A138" s="5"/>
      <c r="B138" s="5"/>
      <c r="C138" s="9"/>
      <c r="D138" s="9"/>
      <c r="E138" s="9"/>
      <c r="F138" s="9"/>
    </row>
    <row r="140" spans="1:10" ht="18" x14ac:dyDescent="0.25">
      <c r="A140" s="57" t="s">
        <v>228</v>
      </c>
    </row>
    <row r="141" spans="1:10" ht="18" x14ac:dyDescent="0.25">
      <c r="A141" s="57" t="s">
        <v>229</v>
      </c>
    </row>
    <row r="142" spans="1:10" ht="18" x14ac:dyDescent="0.25">
      <c r="A142" s="57" t="s">
        <v>230</v>
      </c>
    </row>
  </sheetData>
  <phoneticPr fontId="7" type="noConversion"/>
  <pageMargins left="0.25" right="0.25"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4CEE258F3454482FF5A437F88A692" ma:contentTypeVersion="18" ma:contentTypeDescription="Create a new document." ma:contentTypeScope="" ma:versionID="05bc8175b23965873b03421eb8796ded">
  <xsd:schema xmlns:xsd="http://www.w3.org/2001/XMLSchema" xmlns:xs="http://www.w3.org/2001/XMLSchema" xmlns:p="http://schemas.microsoft.com/office/2006/metadata/properties" xmlns:ns2="1cb40504-f362-4c2f-ac0e-833a5deba245" xmlns:ns3="fc8aebe1-96f3-440a-a69d-f5001335a6dd" targetNamespace="http://schemas.microsoft.com/office/2006/metadata/properties" ma:root="true" ma:fieldsID="96023e43e22166fc0dd31676b627578c" ns2:_="" ns3:_="">
    <xsd:import namespace="1cb40504-f362-4c2f-ac0e-833a5deba245"/>
    <xsd:import namespace="fc8aebe1-96f3-440a-a69d-f5001335a6d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b40504-f362-4c2f-ac0e-833a5deba24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1c4eeb7-cee1-45ee-be4d-69588890a21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aebe1-96f3-440a-a69d-f5001335a6d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120e34e-cda8-4f5d-9b87-a303a42d93d2}" ma:internalName="TaxCatchAll" ma:showField="CatchAllData" ma:web="fc8aebe1-96f3-440a-a69d-f5001335a6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cb40504-f362-4c2f-ac0e-833a5deba245">
      <Terms xmlns="http://schemas.microsoft.com/office/infopath/2007/PartnerControls"/>
    </lcf76f155ced4ddcb4097134ff3c332f>
    <TaxCatchAll xmlns="fc8aebe1-96f3-440a-a69d-f5001335a6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24B04A-0563-4F6E-A0B9-6DBB37FB0965}"/>
</file>

<file path=customXml/itemProps2.xml><?xml version="1.0" encoding="utf-8"?>
<ds:datastoreItem xmlns:ds="http://schemas.openxmlformats.org/officeDocument/2006/customXml" ds:itemID="{81DBDC42-D7E3-4D70-91F3-1AB08709DE33}">
  <ds:schemaRef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3f95aea1-b90a-4932-a509-b7a2e2687b8c"/>
    <ds:schemaRef ds:uri="http://purl.org/dc/terms/"/>
    <ds:schemaRef ds:uri="f60705fc-725d-44ea-9e1c-003cde6a78fb"/>
    <ds:schemaRef ds:uri="http://www.w3.org/XML/1998/namespace"/>
    <ds:schemaRef ds:uri="http://purl.org/dc/elements/1.1/"/>
  </ds:schemaRefs>
</ds:datastoreItem>
</file>

<file path=customXml/itemProps3.xml><?xml version="1.0" encoding="utf-8"?>
<ds:datastoreItem xmlns:ds="http://schemas.openxmlformats.org/officeDocument/2006/customXml" ds:itemID="{F82DCD16-90C6-40FC-8BC3-42CC3DF47E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Nufarm Edge Rewards Calculator</vt:lpstr>
      <vt:lpstr>Rebate Reference Table</vt:lpstr>
      <vt:lpstr>Instructions!Print_Area</vt:lpstr>
      <vt:lpstr>'Nufarm Edge Rewards Calculator'!Print_Area</vt:lpstr>
      <vt:lpstr>'Nufarm Edge Rewards Calculator'!Print_Titles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Biegacki</dc:creator>
  <cp:keywords/>
  <dc:description/>
  <cp:lastModifiedBy>David Wells</cp:lastModifiedBy>
  <cp:revision/>
  <cp:lastPrinted>2026-08-11T20:55:18Z</cp:lastPrinted>
  <dcterms:created xsi:type="dcterms:W3CDTF">2019-08-21T15:42:09Z</dcterms:created>
  <dcterms:modified xsi:type="dcterms:W3CDTF">2026-09-29T13:06:10Z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0x0101003AC4CEE258F3454482FF5A437F88A692</vt:lpwstr>
  </property>
</Properties>
</file>